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SSERVER\uldine\Heiteallikate emissiooni mõõtmised\"/>
    </mc:Choice>
  </mc:AlternateContent>
  <xr:revisionPtr revIDLastSave="0" documentId="13_ncr:1_{A4F2D791-9DE2-42C7-95EB-2EB7910FDFED}" xr6:coauthVersionLast="47" xr6:coauthVersionMax="47" xr10:uidLastSave="{00000000-0000-0000-0000-000000000000}"/>
  <bookViews>
    <workbookView xWindow="-120" yWindow="-120" windowWidth="29040" windowHeight="15840" activeTab="1" xr2:uid="{DC10DFCA-9A6C-4F98-8427-A81946CDB1CD}"/>
  </bookViews>
  <sheets>
    <sheet name="Heiteallikas SA-3" sheetId="1" r:id="rId1"/>
    <sheet name="Heiteallikas SA-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2" l="1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3" i="2"/>
  <c r="D61" i="2"/>
  <c r="D59" i="2"/>
  <c r="D55" i="2"/>
  <c r="D47" i="2"/>
  <c r="J32" i="2"/>
  <c r="J33" i="2" s="1"/>
  <c r="J34" i="2" s="1"/>
  <c r="J35" i="2" s="1"/>
  <c r="D68" i="2" s="1"/>
  <c r="J26" i="2"/>
  <c r="J27" i="2" s="1"/>
  <c r="J28" i="2" s="1"/>
  <c r="J29" i="2" s="1"/>
  <c r="D44" i="2" s="1"/>
  <c r="D16" i="2"/>
  <c r="D15" i="2"/>
  <c r="D66" i="2" s="1"/>
  <c r="I14" i="2"/>
  <c r="I15" i="2" s="1"/>
  <c r="I16" i="2" s="1"/>
  <c r="H4" i="2" s="1"/>
  <c r="I13" i="2"/>
  <c r="I12" i="2"/>
  <c r="Q9" i="2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2" i="1"/>
  <c r="D60" i="1"/>
  <c r="D58" i="1"/>
  <c r="D54" i="1"/>
  <c r="D46" i="1"/>
  <c r="D16" i="1"/>
  <c r="D15" i="1"/>
  <c r="D65" i="1" s="1"/>
  <c r="I14" i="1"/>
  <c r="I15" i="1" s="1"/>
  <c r="I16" i="1" s="1"/>
  <c r="H4" i="1" s="1"/>
  <c r="I13" i="1"/>
  <c r="I12" i="1"/>
  <c r="O9" i="1"/>
  <c r="D48" i="2" l="1"/>
  <c r="D52" i="2"/>
  <c r="D60" i="2"/>
  <c r="D64" i="2"/>
  <c r="D45" i="2"/>
  <c r="D49" i="2"/>
  <c r="D53" i="2"/>
  <c r="D57" i="2"/>
  <c r="D65" i="2"/>
  <c r="D56" i="2"/>
  <c r="D46" i="2"/>
  <c r="D50" i="2"/>
  <c r="D51" i="2" s="1"/>
  <c r="D54" i="2"/>
  <c r="D58" i="2"/>
  <c r="D62" i="2"/>
  <c r="D43" i="1"/>
  <c r="D51" i="1"/>
  <c r="D55" i="1"/>
  <c r="D63" i="1"/>
  <c r="D44" i="1"/>
  <c r="D48" i="1"/>
  <c r="D52" i="1"/>
  <c r="D56" i="1"/>
  <c r="D64" i="1"/>
  <c r="D47" i="1"/>
  <c r="D59" i="1"/>
  <c r="D45" i="1"/>
  <c r="D49" i="1"/>
  <c r="D50" i="1" s="1"/>
  <c r="D53" i="1"/>
  <c r="D57" i="1"/>
  <c r="D61" i="1"/>
</calcChain>
</file>

<file path=xl/sharedStrings.xml><?xml version="1.0" encoding="utf-8"?>
<sst xmlns="http://schemas.openxmlformats.org/spreadsheetml/2006/main" count="787" uniqueCount="155">
  <si>
    <t>AS Narva Vesi</t>
  </si>
  <si>
    <t>Heiteallika andmed</t>
  </si>
  <si>
    <t>Heiteallikas:</t>
  </si>
  <si>
    <t>SA-3</t>
  </si>
  <si>
    <t>Kõrgus, m</t>
  </si>
  <si>
    <t>Suudme läbimõõt D, m</t>
  </si>
  <si>
    <t>Gaaside joonkiirus w, m/s</t>
  </si>
  <si>
    <t>Gaaside temp. T, C</t>
  </si>
  <si>
    <t>X</t>
  </si>
  <si>
    <t>Y</t>
  </si>
  <si>
    <t>Nimetus:</t>
  </si>
  <si>
    <t>Katlamaja korsten</t>
  </si>
  <si>
    <t>Katla tööaeg</t>
  </si>
  <si>
    <t>h</t>
  </si>
  <si>
    <t>Suitsugaaside joonkiiruse arvutus</t>
  </si>
  <si>
    <t>Toodetav soojushulk</t>
  </si>
  <si>
    <t>Nimetus</t>
  </si>
  <si>
    <t>Tähis</t>
  </si>
  <si>
    <t>Ühik</t>
  </si>
  <si>
    <t>Väärtused</t>
  </si>
  <si>
    <t>Kirjanduse viide</t>
  </si>
  <si>
    <t>Valem</t>
  </si>
  <si>
    <t>Stöh. Põlemisel kuivi gaase energiaühiku kohta</t>
  </si>
  <si>
    <t>Nm3/MJ</t>
  </si>
  <si>
    <t>Väärtus</t>
  </si>
  <si>
    <t>Kütuse nimetus</t>
  </si>
  <si>
    <t>maagaas</t>
  </si>
  <si>
    <t>ettevõtte andmed</t>
  </si>
  <si>
    <t>Hapniku sisaldus suitsugaasides standardiseeritud tingimustel (vastavalt Direktiivile 2010/75/EL)</t>
  </si>
  <si>
    <t>%</t>
  </si>
  <si>
    <t>Maagaas Qs</t>
  </si>
  <si>
    <t>MWh/a</t>
  </si>
  <si>
    <t>Qs=n*Q*B*1000/3600</t>
  </si>
  <si>
    <t>Kasutegur</t>
  </si>
  <si>
    <t>n</t>
  </si>
  <si>
    <t>Nominaalvõimsus</t>
  </si>
  <si>
    <t>P</t>
  </si>
  <si>
    <t>MW</t>
  </si>
  <si>
    <t>Mahtkiirus Vm1</t>
  </si>
  <si>
    <t>Nm3/s</t>
  </si>
  <si>
    <t>Vm1=Px0,25</t>
  </si>
  <si>
    <t>Kütusekulu aastas</t>
  </si>
  <si>
    <t>B</t>
  </si>
  <si>
    <t>tuh m3/a</t>
  </si>
  <si>
    <r>
      <t xml:space="preserve">liigõhutegur </t>
    </r>
    <r>
      <rPr>
        <sz val="11"/>
        <color theme="1"/>
        <rFont val="Symbol"/>
        <family val="1"/>
        <charset val="2"/>
      </rPr>
      <t>a</t>
    </r>
  </si>
  <si>
    <r>
      <rPr>
        <sz val="10"/>
        <color theme="1"/>
        <rFont val="Symbol"/>
        <family val="1"/>
        <charset val="2"/>
      </rPr>
      <t xml:space="preserve"> a</t>
    </r>
    <r>
      <rPr>
        <sz val="11"/>
        <color theme="1"/>
        <rFont val="Calibri"/>
        <family val="2"/>
        <charset val="204"/>
        <scheme val="minor"/>
      </rPr>
      <t>=(20,9/(20,9-3)</t>
    </r>
  </si>
  <si>
    <t>Alumine kütteväärtus</t>
  </si>
  <si>
    <t>Q</t>
  </si>
  <si>
    <t>MJ/m3</t>
  </si>
  <si>
    <t>Mahtkiirus Vm2</t>
  </si>
  <si>
    <r>
      <t>Vm2=</t>
    </r>
    <r>
      <rPr>
        <sz val="10"/>
        <color theme="1"/>
        <rFont val="Symbol"/>
        <family val="1"/>
        <charset val="2"/>
      </rPr>
      <t xml:space="preserve"> a</t>
    </r>
    <r>
      <rPr>
        <sz val="11"/>
        <color theme="1"/>
        <rFont val="Calibri"/>
        <family val="2"/>
        <charset val="204"/>
        <scheme val="minor"/>
      </rPr>
      <t>xVm1</t>
    </r>
  </si>
  <si>
    <t>Kütusekulu soojusühikutes</t>
  </si>
  <si>
    <t>B1</t>
  </si>
  <si>
    <t>GJ/a</t>
  </si>
  <si>
    <t>1</t>
  </si>
  <si>
    <t>B1=BxQ</t>
  </si>
  <si>
    <t xml:space="preserve">Mahtkulu V </t>
  </si>
  <si>
    <t>m3/s</t>
  </si>
  <si>
    <t>V=Vm2x((273+T)/273)</t>
  </si>
  <si>
    <t>Kütuse hetkeline kulu</t>
  </si>
  <si>
    <t>Bhetk</t>
  </si>
  <si>
    <t>Bhetk=P/Q</t>
  </si>
  <si>
    <t>Gaaside joonkiirus, w</t>
  </si>
  <si>
    <t>m/s</t>
  </si>
  <si>
    <r>
      <t>w=V*4/(</t>
    </r>
    <r>
      <rPr>
        <sz val="10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charset val="204"/>
        <scheme val="minor"/>
      </rPr>
      <t>*D^2)</t>
    </r>
  </si>
  <si>
    <t>Saasteainete eriheited</t>
  </si>
  <si>
    <t>SO2</t>
  </si>
  <si>
    <t>q</t>
  </si>
  <si>
    <t>g/GJ</t>
  </si>
  <si>
    <t>NO2</t>
  </si>
  <si>
    <t>CO</t>
  </si>
  <si>
    <t>NMVOC</t>
  </si>
  <si>
    <t>PM-sum</t>
  </si>
  <si>
    <t>PM10</t>
  </si>
  <si>
    <t>PM2,5</t>
  </si>
  <si>
    <t>BC</t>
  </si>
  <si>
    <t>% PM2,5-st</t>
  </si>
  <si>
    <t>Pb</t>
  </si>
  <si>
    <t>mg/GJ</t>
  </si>
  <si>
    <t>Cd</t>
  </si>
  <si>
    <t>Hg</t>
  </si>
  <si>
    <t>As</t>
  </si>
  <si>
    <t>Cr</t>
  </si>
  <si>
    <t>Cu</t>
  </si>
  <si>
    <t>Ni</t>
  </si>
  <si>
    <t>Se</t>
  </si>
  <si>
    <t>Zn</t>
  </si>
  <si>
    <t>CO2</t>
  </si>
  <si>
    <t>qc</t>
  </si>
  <si>
    <t>tC/TJ</t>
  </si>
  <si>
    <t>2</t>
  </si>
  <si>
    <t>Kc</t>
  </si>
  <si>
    <t>PCDD/PCDF</t>
  </si>
  <si>
    <t>ng/GJ</t>
  </si>
  <si>
    <t>Benso(a)püreen</t>
  </si>
  <si>
    <t>mikro_g/GJ</t>
  </si>
  <si>
    <t>Benso(b)fluoranteen</t>
  </si>
  <si>
    <t>Benso(k)fluoranteen</t>
  </si>
  <si>
    <t>Indeno(1,2,2-cd)püreen</t>
  </si>
  <si>
    <t>Saasteainete aastased heitkogused</t>
  </si>
  <si>
    <t>SO2 maagaas</t>
  </si>
  <si>
    <t>Mp</t>
  </si>
  <si>
    <t>t/a</t>
  </si>
  <si>
    <t>Mp=B1xq/1000000</t>
  </si>
  <si>
    <t>Mp=MpPM2,5xq/100</t>
  </si>
  <si>
    <t>kg/a</t>
  </si>
  <si>
    <t>Mp=BxQxqcxKcx3,664x0,001</t>
  </si>
  <si>
    <t>mg/a</t>
  </si>
  <si>
    <t>Mp=B1xq/1000000000</t>
  </si>
  <si>
    <t>Saasteainete hetkelised heitkogused</t>
  </si>
  <si>
    <t>Mpi</t>
  </si>
  <si>
    <t>g/s</t>
  </si>
  <si>
    <t>Mpi=Pxq/1000</t>
  </si>
  <si>
    <t>Mpi=Pxq/1000000</t>
  </si>
  <si>
    <t>SA-4</t>
  </si>
  <si>
    <t>Biogaasi põleti</t>
  </si>
  <si>
    <t>Põleti tööaeg</t>
  </si>
  <si>
    <t>biogaas</t>
  </si>
  <si>
    <t>Qs</t>
  </si>
  <si>
    <t>H2S sisaldus biogaasis</t>
  </si>
  <si>
    <t>Ch2s</t>
  </si>
  <si>
    <t>Biogaasi põletamisel vääveldioksiidi heitkoguse arvutamise algandmed</t>
  </si>
  <si>
    <t>Biogaasi korral eeldatakse, et SO2 heitkogus tekib H2S põlemisel:</t>
  </si>
  <si>
    <t>Reaktsioonivõrrandis järgi tekib 1 molekulist väävelvesinikust 1 molekul vääveldioksiidi</t>
  </si>
  <si>
    <r>
      <rPr>
        <b/>
        <sz val="10"/>
        <color theme="1"/>
        <rFont val="Arial"/>
        <family val="2"/>
        <charset val="186"/>
      </rPr>
      <t>Märkus:</t>
    </r>
    <r>
      <rPr>
        <sz val="11"/>
        <color theme="1"/>
        <rFont val="Calibri"/>
        <family val="2"/>
        <charset val="204"/>
        <scheme val="minor"/>
      </rPr>
      <t xml:space="preserve"> kuna maagaasi parameetrid on temperatuuril 20oC ja absoluutsel rõhul 101,325 kPa, siis eeldatakse, et biogaasi vastavad väärtused on esitatud samadel tingimustel.</t>
    </r>
  </si>
  <si>
    <t>Aastased heitkogused</t>
  </si>
  <si>
    <t>Gaasi maht normaaltingimustel</t>
  </si>
  <si>
    <t>Bn</t>
  </si>
  <si>
    <t>tuh Nm3/a</t>
  </si>
  <si>
    <t>Bn=Bx(273/(273+20))</t>
  </si>
  <si>
    <t>H2S maht enne väävliärastust ja põletit</t>
  </si>
  <si>
    <t>BH2S</t>
  </si>
  <si>
    <t>Nm3/a</t>
  </si>
  <si>
    <t>BH2S=Bnx(Ch2s/100)x1000</t>
  </si>
  <si>
    <t>H2S kogus biogaasis enne väävliärastust ja põletit</t>
  </si>
  <si>
    <t>nH2S</t>
  </si>
  <si>
    <t>kmol/a</t>
  </si>
  <si>
    <t>nH2S=BH2S/22,4</t>
  </si>
  <si>
    <t>H2S kogus biogaasis pärast väävliärastuse reaktorit Sulfatreat (80% puhastusefektiivsus) ja enne põletit</t>
  </si>
  <si>
    <t>nvH2S</t>
  </si>
  <si>
    <t>nvH2S=nH2S-(nH25x80/100)</t>
  </si>
  <si>
    <t>SO2 molekulmass</t>
  </si>
  <si>
    <t>Mol(so2)</t>
  </si>
  <si>
    <t>kg/kmol</t>
  </si>
  <si>
    <t>Hetkelised heitkogused</t>
  </si>
  <si>
    <t>Bnhetk</t>
  </si>
  <si>
    <t>BH2Shetk</t>
  </si>
  <si>
    <t>BH2S=Bnx(Ch2s/100)</t>
  </si>
  <si>
    <t>nH2Shetk</t>
  </si>
  <si>
    <t>kmol/s</t>
  </si>
  <si>
    <t>nvH2Shetk</t>
  </si>
  <si>
    <t>nvH2Shetk=nH2Shetk-(nH25hetkx80/100)</t>
  </si>
  <si>
    <t>SO2 biogaas</t>
  </si>
  <si>
    <t>Mp=nvH2SxMol(so2)/1000</t>
  </si>
  <si>
    <t>Mp=nvH2ShetkxMol(so2)x1000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</si>
</sst>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0000"/>
    <numFmt numFmtId="167" formatCode="0.00000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b/>
      <i/>
      <sz val="11"/>
      <color theme="1"/>
      <name val="Calibri"/>
      <family val="2"/>
      <charset val="186"/>
      <scheme val="minor"/>
    </font>
    <font>
      <i/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49" fontId="0" fillId="0" borderId="0" xfId="0" applyNumberFormat="1"/>
    <xf numFmtId="0" fontId="3" fillId="0" borderId="0" xfId="1" applyFont="1"/>
    <xf numFmtId="0" fontId="4" fillId="0" borderId="0" xfId="0" applyFont="1"/>
    <xf numFmtId="49" fontId="3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1" applyBorder="1" applyAlignment="1">
      <alignment wrapText="1"/>
    </xf>
    <xf numFmtId="0" fontId="1" fillId="0" borderId="1" xfId="1" applyBorder="1"/>
    <xf numFmtId="0" fontId="0" fillId="0" borderId="1" xfId="0" applyBorder="1"/>
    <xf numFmtId="49" fontId="0" fillId="0" borderId="1" xfId="0" applyNumberForma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1" fillId="0" borderId="0" xfId="1"/>
    <xf numFmtId="164" fontId="0" fillId="0" borderId="0" xfId="0" applyNumberFormat="1"/>
    <xf numFmtId="0" fontId="0" fillId="0" borderId="1" xfId="0" applyBorder="1" applyAlignment="1">
      <alignment wrapText="1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0" xfId="0" applyFont="1"/>
    <xf numFmtId="0" fontId="0" fillId="0" borderId="1" xfId="0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165" fontId="1" fillId="0" borderId="1" xfId="1" applyNumberFormat="1" applyBorder="1"/>
    <xf numFmtId="166" fontId="0" fillId="0" borderId="1" xfId="0" applyNumberFormat="1" applyBorder="1"/>
    <xf numFmtId="167" fontId="0" fillId="0" borderId="1" xfId="0" applyNumberFormat="1" applyBorder="1"/>
    <xf numFmtId="0" fontId="1" fillId="0" borderId="1" xfId="1" applyBorder="1" applyAlignment="1">
      <alignment horizontal="center" vertical="center"/>
    </xf>
    <xf numFmtId="0" fontId="4" fillId="0" borderId="3" xfId="0" applyFont="1" applyBorder="1"/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1" applyFont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64" fontId="0" fillId="0" borderId="1" xfId="0" applyNumberFormat="1" applyBorder="1"/>
    <xf numFmtId="165" fontId="0" fillId="0" borderId="1" xfId="0" applyNumberFormat="1" applyBorder="1"/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0" fillId="0" borderId="1" xfId="0" applyBorder="1" applyAlignment="1">
      <alignment horizontal="left" vertical="center"/>
    </xf>
  </cellXfs>
  <cellStyles count="2">
    <cellStyle name="Normal 2" xfId="1" xr:uid="{81E54E54-4C1F-40E3-9B36-769CC053C54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</xdr:colOff>
      <xdr:row>19</xdr:row>
      <xdr:rowOff>10584</xdr:rowOff>
    </xdr:from>
    <xdr:to>
      <xdr:col>7</xdr:col>
      <xdr:colOff>1710327</xdr:colOff>
      <xdr:row>20</xdr:row>
      <xdr:rowOff>18204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B67AF0-82BC-433A-BD57-0B514A80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6475" y="4525434"/>
          <a:ext cx="1678577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E19D-68EC-4ABE-B7A0-DBADD0893A41}">
  <dimension ref="A1:Q82"/>
  <sheetViews>
    <sheetView workbookViewId="0">
      <selection activeCell="P14" sqref="P14"/>
    </sheetView>
  </sheetViews>
  <sheetFormatPr defaultRowHeight="15" x14ac:dyDescent="0.25"/>
  <cols>
    <col min="1" max="1" width="27.7109375" customWidth="1"/>
    <col min="2" max="2" width="26.42578125" customWidth="1"/>
    <col min="3" max="3" width="18.85546875" customWidth="1"/>
    <col min="4" max="4" width="21.7109375" customWidth="1"/>
    <col min="5" max="5" width="22" customWidth="1"/>
    <col min="6" max="6" width="20" customWidth="1"/>
    <col min="8" max="8" width="31.7109375" customWidth="1"/>
    <col min="10" max="10" width="31.7109375" customWidth="1"/>
    <col min="11" max="11" width="26.7109375" customWidth="1"/>
    <col min="15" max="15" width="15.42578125" customWidth="1"/>
    <col min="16" max="16" width="15" customWidth="1"/>
    <col min="17" max="17" width="29" customWidth="1"/>
  </cols>
  <sheetData>
    <row r="1" spans="1:17" ht="21" x14ac:dyDescent="0.35">
      <c r="A1" s="1" t="s">
        <v>0</v>
      </c>
      <c r="B1" s="2"/>
    </row>
    <row r="2" spans="1:17" ht="18.75" x14ac:dyDescent="0.3">
      <c r="A2" s="3"/>
      <c r="B2" s="2"/>
      <c r="F2" s="4" t="s">
        <v>1</v>
      </c>
      <c r="K2" s="2"/>
    </row>
    <row r="3" spans="1:17" ht="45" x14ac:dyDescent="0.3">
      <c r="A3" s="5" t="s">
        <v>2</v>
      </c>
      <c r="B3" s="5" t="s">
        <v>3</v>
      </c>
      <c r="F3" s="6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</row>
    <row r="4" spans="1:17" ht="18.75" x14ac:dyDescent="0.3">
      <c r="A4" s="5" t="s">
        <v>10</v>
      </c>
      <c r="B4" s="3" t="s">
        <v>11</v>
      </c>
      <c r="F4" s="8">
        <v>5</v>
      </c>
      <c r="G4" s="8">
        <v>0.3</v>
      </c>
      <c r="H4" s="8">
        <f>MIN(I16:I16)</f>
        <v>5</v>
      </c>
      <c r="I4" s="8">
        <v>180</v>
      </c>
      <c r="J4" s="8">
        <v>6591473</v>
      </c>
      <c r="K4" s="8">
        <v>736939</v>
      </c>
    </row>
    <row r="5" spans="1:17" x14ac:dyDescent="0.25">
      <c r="A5" t="s">
        <v>12</v>
      </c>
      <c r="B5">
        <v>8760</v>
      </c>
      <c r="C5" t="s">
        <v>13</v>
      </c>
    </row>
    <row r="7" spans="1:17" x14ac:dyDescent="0.25">
      <c r="H7" s="4" t="s">
        <v>14</v>
      </c>
      <c r="N7" s="4" t="s">
        <v>15</v>
      </c>
    </row>
    <row r="8" spans="1:17" ht="30" x14ac:dyDescent="0.25">
      <c r="A8" s="9" t="s">
        <v>16</v>
      </c>
      <c r="B8" s="9" t="s">
        <v>17</v>
      </c>
      <c r="C8" s="9" t="s">
        <v>18</v>
      </c>
      <c r="D8" s="10" t="s">
        <v>19</v>
      </c>
      <c r="E8" s="11" t="s">
        <v>20</v>
      </c>
      <c r="F8" s="9" t="s">
        <v>21</v>
      </c>
      <c r="H8" s="12" t="s">
        <v>22</v>
      </c>
      <c r="I8" s="13">
        <v>0.25</v>
      </c>
      <c r="J8" s="13" t="s">
        <v>23</v>
      </c>
      <c r="N8" s="14" t="s">
        <v>16</v>
      </c>
      <c r="O8" s="14" t="s">
        <v>24</v>
      </c>
      <c r="P8" s="14" t="s">
        <v>18</v>
      </c>
      <c r="Q8" s="14" t="s">
        <v>21</v>
      </c>
    </row>
    <row r="9" spans="1:17" ht="154.5" customHeight="1" x14ac:dyDescent="0.25">
      <c r="A9" s="15" t="s">
        <v>25</v>
      </c>
      <c r="B9" s="14"/>
      <c r="C9" s="14"/>
      <c r="D9" s="14" t="s">
        <v>26</v>
      </c>
      <c r="E9" s="14" t="s">
        <v>27</v>
      </c>
      <c r="F9" s="14"/>
      <c r="H9" s="12" t="s">
        <v>28</v>
      </c>
      <c r="I9" s="13">
        <v>3</v>
      </c>
      <c r="J9" s="13" t="s">
        <v>29</v>
      </c>
      <c r="N9" s="13" t="s">
        <v>30</v>
      </c>
      <c r="O9" s="13">
        <f>ROUND(D11*D14*D13*1000/3600,0)</f>
        <v>6301</v>
      </c>
      <c r="P9" s="13" t="s">
        <v>31</v>
      </c>
      <c r="Q9" s="14" t="s">
        <v>32</v>
      </c>
    </row>
    <row r="10" spans="1:17" x14ac:dyDescent="0.25">
      <c r="A10" s="14"/>
      <c r="B10" s="14"/>
      <c r="C10" s="14"/>
      <c r="D10" s="14"/>
      <c r="E10" s="14"/>
      <c r="F10" s="14"/>
    </row>
    <row r="11" spans="1:17" x14ac:dyDescent="0.25">
      <c r="A11" s="14" t="s">
        <v>33</v>
      </c>
      <c r="B11" s="14" t="s">
        <v>34</v>
      </c>
      <c r="C11" s="14"/>
      <c r="D11" s="14">
        <v>0.95</v>
      </c>
      <c r="E11" s="14" t="s">
        <v>27</v>
      </c>
      <c r="F11" s="14"/>
      <c r="H11" s="16" t="s">
        <v>16</v>
      </c>
      <c r="I11" s="17" t="s">
        <v>24</v>
      </c>
      <c r="J11" s="16" t="s">
        <v>18</v>
      </c>
      <c r="K11" s="16" t="s">
        <v>21</v>
      </c>
      <c r="M11" s="18"/>
      <c r="N11" s="18"/>
      <c r="O11" s="18"/>
      <c r="P11" s="18"/>
    </row>
    <row r="12" spans="1:17" x14ac:dyDescent="0.25">
      <c r="A12" s="15" t="s">
        <v>35</v>
      </c>
      <c r="B12" s="14" t="s">
        <v>36</v>
      </c>
      <c r="C12" s="14" t="s">
        <v>37</v>
      </c>
      <c r="D12" s="14">
        <v>0.75800000000000001</v>
      </c>
      <c r="E12" s="14" t="s">
        <v>27</v>
      </c>
      <c r="F12" s="14"/>
      <c r="H12" s="13" t="s">
        <v>38</v>
      </c>
      <c r="I12" s="13">
        <f>ROUND(D12*I8,2)</f>
        <v>0.19</v>
      </c>
      <c r="J12" s="13" t="s">
        <v>39</v>
      </c>
      <c r="K12" s="14" t="s">
        <v>40</v>
      </c>
      <c r="M12" s="18"/>
      <c r="N12" s="18"/>
      <c r="O12" s="18"/>
      <c r="P12" s="18"/>
    </row>
    <row r="13" spans="1:17" x14ac:dyDescent="0.25">
      <c r="A13" s="15" t="s">
        <v>41</v>
      </c>
      <c r="B13" s="14" t="s">
        <v>42</v>
      </c>
      <c r="C13" s="14" t="s">
        <v>43</v>
      </c>
      <c r="D13" s="14">
        <v>712.8</v>
      </c>
      <c r="E13" s="14" t="s">
        <v>27</v>
      </c>
      <c r="F13" s="14"/>
      <c r="H13" s="13" t="s">
        <v>44</v>
      </c>
      <c r="I13" s="13">
        <f>ROUND(20.9/(20.9-I9),2)</f>
        <v>1.17</v>
      </c>
      <c r="J13" s="13"/>
      <c r="K13" s="14" t="s">
        <v>45</v>
      </c>
      <c r="M13" s="18"/>
      <c r="N13" s="18"/>
      <c r="O13" s="18"/>
      <c r="P13" s="18"/>
      <c r="Q13" s="19"/>
    </row>
    <row r="14" spans="1:17" x14ac:dyDescent="0.25">
      <c r="A14" s="15" t="s">
        <v>46</v>
      </c>
      <c r="B14" s="14" t="s">
        <v>47</v>
      </c>
      <c r="C14" s="14" t="s">
        <v>48</v>
      </c>
      <c r="D14" s="14">
        <v>33.5</v>
      </c>
      <c r="E14" s="20" t="s">
        <v>27</v>
      </c>
      <c r="F14" s="14"/>
      <c r="H14" s="13" t="s">
        <v>49</v>
      </c>
      <c r="I14" s="13">
        <f>ROUND(I12*I13,2)</f>
        <v>0.22</v>
      </c>
      <c r="J14" s="13" t="s">
        <v>39</v>
      </c>
      <c r="K14" s="14" t="s">
        <v>50</v>
      </c>
      <c r="M14" s="18"/>
      <c r="N14" s="18"/>
      <c r="O14" s="18"/>
      <c r="P14" s="18"/>
      <c r="Q14" s="19"/>
    </row>
    <row r="15" spans="1:17" x14ac:dyDescent="0.25">
      <c r="A15" s="15" t="s">
        <v>51</v>
      </c>
      <c r="B15" s="14" t="s">
        <v>52</v>
      </c>
      <c r="C15" s="14" t="s">
        <v>53</v>
      </c>
      <c r="D15" s="14">
        <f>ROUND(D14*D13,3)</f>
        <v>23878.799999999999</v>
      </c>
      <c r="E15" s="14" t="s">
        <v>54</v>
      </c>
      <c r="F15" s="14" t="s">
        <v>55</v>
      </c>
      <c r="H15" s="13" t="s">
        <v>56</v>
      </c>
      <c r="I15" s="13">
        <f>ROUND(I14*((273+I4)/273),2)</f>
        <v>0.37</v>
      </c>
      <c r="J15" s="13" t="s">
        <v>57</v>
      </c>
      <c r="K15" s="14" t="s">
        <v>58</v>
      </c>
      <c r="P15" s="18"/>
      <c r="Q15" s="19"/>
    </row>
    <row r="16" spans="1:17" x14ac:dyDescent="0.25">
      <c r="A16" s="15" t="s">
        <v>59</v>
      </c>
      <c r="B16" s="14" t="s">
        <v>60</v>
      </c>
      <c r="C16" s="14" t="s">
        <v>57</v>
      </c>
      <c r="D16" s="14">
        <f>ROUND(D12/D14,2)</f>
        <v>0.02</v>
      </c>
      <c r="E16" s="14"/>
      <c r="F16" s="14" t="s">
        <v>61</v>
      </c>
      <c r="H16" s="20" t="s">
        <v>62</v>
      </c>
      <c r="I16" s="14">
        <f>ROUND(I15*4/(PI()*G4^2),0)</f>
        <v>5</v>
      </c>
      <c r="J16" s="13" t="s">
        <v>63</v>
      </c>
      <c r="K16" s="14" t="s">
        <v>64</v>
      </c>
      <c r="P16" s="18"/>
      <c r="Q16" s="19"/>
    </row>
    <row r="17" spans="1:17" x14ac:dyDescent="0.25">
      <c r="A17" s="21" t="s">
        <v>65</v>
      </c>
      <c r="B17" s="22"/>
      <c r="C17" s="22"/>
      <c r="D17" s="23"/>
      <c r="E17" s="23"/>
      <c r="F17" s="23"/>
      <c r="P17" s="18"/>
      <c r="Q17" s="19"/>
    </row>
    <row r="18" spans="1:17" x14ac:dyDescent="0.25">
      <c r="A18" s="14" t="s">
        <v>66</v>
      </c>
      <c r="B18" s="20" t="s">
        <v>67</v>
      </c>
      <c r="C18" s="13" t="s">
        <v>68</v>
      </c>
      <c r="D18" s="13">
        <v>0.51</v>
      </c>
      <c r="E18" s="14" t="s">
        <v>54</v>
      </c>
      <c r="F18" s="14"/>
      <c r="P18" s="18"/>
    </row>
    <row r="19" spans="1:17" x14ac:dyDescent="0.25">
      <c r="A19" s="14" t="s">
        <v>69</v>
      </c>
      <c r="B19" s="14" t="s">
        <v>67</v>
      </c>
      <c r="C19" s="13" t="s">
        <v>68</v>
      </c>
      <c r="D19" s="13">
        <v>42.8</v>
      </c>
      <c r="E19" s="14" t="s">
        <v>54</v>
      </c>
      <c r="F19" s="14"/>
      <c r="P19" s="18"/>
      <c r="Q19" s="19"/>
    </row>
    <row r="20" spans="1:17" x14ac:dyDescent="0.25">
      <c r="A20" s="14" t="s">
        <v>70</v>
      </c>
      <c r="B20" s="14" t="s">
        <v>67</v>
      </c>
      <c r="C20" s="13" t="s">
        <v>68</v>
      </c>
      <c r="D20" s="13">
        <v>30</v>
      </c>
      <c r="E20" s="14" t="s">
        <v>54</v>
      </c>
      <c r="F20" s="14"/>
      <c r="M20" s="24"/>
      <c r="Q20" s="19"/>
    </row>
    <row r="21" spans="1:17" x14ac:dyDescent="0.25">
      <c r="A21" s="14" t="s">
        <v>71</v>
      </c>
      <c r="B21" s="14" t="s">
        <v>67</v>
      </c>
      <c r="C21" s="13" t="s">
        <v>68</v>
      </c>
      <c r="D21" s="13">
        <v>2</v>
      </c>
      <c r="E21" s="14" t="s">
        <v>54</v>
      </c>
      <c r="F21" s="14"/>
      <c r="P21" s="24"/>
    </row>
    <row r="22" spans="1:17" x14ac:dyDescent="0.25">
      <c r="A22" s="14" t="s">
        <v>72</v>
      </c>
      <c r="B22" s="14" t="s">
        <v>67</v>
      </c>
      <c r="C22" s="13" t="s">
        <v>68</v>
      </c>
      <c r="D22" s="13">
        <v>0.45</v>
      </c>
      <c r="E22" s="14" t="s">
        <v>54</v>
      </c>
      <c r="F22" s="14"/>
    </row>
    <row r="23" spans="1:17" x14ac:dyDescent="0.25">
      <c r="A23" s="14" t="s">
        <v>73</v>
      </c>
      <c r="B23" s="14" t="s">
        <v>67</v>
      </c>
      <c r="C23" s="13" t="s">
        <v>68</v>
      </c>
      <c r="D23" s="13">
        <v>0.45</v>
      </c>
      <c r="E23" s="14" t="s">
        <v>54</v>
      </c>
      <c r="F23" s="14"/>
    </row>
    <row r="24" spans="1:17" x14ac:dyDescent="0.25">
      <c r="A24" s="14" t="s">
        <v>74</v>
      </c>
      <c r="B24" s="14" t="s">
        <v>67</v>
      </c>
      <c r="C24" s="13" t="s">
        <v>68</v>
      </c>
      <c r="D24" s="13">
        <v>0.45</v>
      </c>
      <c r="E24" s="14" t="s">
        <v>54</v>
      </c>
      <c r="F24" s="14"/>
    </row>
    <row r="25" spans="1:17" x14ac:dyDescent="0.25">
      <c r="A25" s="14" t="s">
        <v>75</v>
      </c>
      <c r="B25" s="14" t="s">
        <v>67</v>
      </c>
      <c r="C25" s="13" t="s">
        <v>76</v>
      </c>
      <c r="D25" s="13">
        <v>5.4</v>
      </c>
      <c r="E25" s="14" t="s">
        <v>54</v>
      </c>
      <c r="F25" s="14"/>
    </row>
    <row r="26" spans="1:17" x14ac:dyDescent="0.25">
      <c r="A26" s="14" t="s">
        <v>77</v>
      </c>
      <c r="B26" s="14" t="s">
        <v>67</v>
      </c>
      <c r="C26" s="13" t="s">
        <v>78</v>
      </c>
      <c r="D26" s="13">
        <v>1.5E-3</v>
      </c>
      <c r="E26" s="14" t="s">
        <v>54</v>
      </c>
      <c r="F26" s="14"/>
    </row>
    <row r="27" spans="1:17" x14ac:dyDescent="0.25">
      <c r="A27" s="14" t="s">
        <v>79</v>
      </c>
      <c r="B27" s="14" t="s">
        <v>67</v>
      </c>
      <c r="C27" s="13" t="s">
        <v>78</v>
      </c>
      <c r="D27" s="13">
        <v>2.5000000000000001E-4</v>
      </c>
      <c r="E27" s="14" t="s">
        <v>54</v>
      </c>
      <c r="F27" s="14"/>
    </row>
    <row r="28" spans="1:17" x14ac:dyDescent="0.25">
      <c r="A28" s="14" t="s">
        <v>80</v>
      </c>
      <c r="B28" s="14" t="s">
        <v>67</v>
      </c>
      <c r="C28" s="13" t="s">
        <v>78</v>
      </c>
      <c r="D28" s="13">
        <v>0.1</v>
      </c>
      <c r="E28" s="14" t="s">
        <v>54</v>
      </c>
      <c r="F28" s="14"/>
    </row>
    <row r="29" spans="1:17" x14ac:dyDescent="0.25">
      <c r="A29" s="14" t="s">
        <v>81</v>
      </c>
      <c r="B29" s="14" t="s">
        <v>67</v>
      </c>
      <c r="C29" s="13" t="s">
        <v>78</v>
      </c>
      <c r="D29" s="13">
        <v>0.12</v>
      </c>
      <c r="E29" s="14" t="s">
        <v>54</v>
      </c>
      <c r="F29" s="14"/>
    </row>
    <row r="30" spans="1:17" x14ac:dyDescent="0.25">
      <c r="A30" s="14" t="s">
        <v>82</v>
      </c>
      <c r="B30" s="14" t="s">
        <v>67</v>
      </c>
      <c r="C30" s="13" t="s">
        <v>78</v>
      </c>
      <c r="D30" s="13">
        <v>7.6000000000000004E-4</v>
      </c>
      <c r="E30" s="14" t="s">
        <v>54</v>
      </c>
      <c r="F30" s="14"/>
    </row>
    <row r="31" spans="1:17" x14ac:dyDescent="0.25">
      <c r="A31" s="14" t="s">
        <v>83</v>
      </c>
      <c r="B31" s="14" t="s">
        <v>67</v>
      </c>
      <c r="C31" s="13" t="s">
        <v>78</v>
      </c>
      <c r="D31" s="13">
        <v>7.6000000000000004E-4</v>
      </c>
      <c r="E31" s="14" t="s">
        <v>54</v>
      </c>
      <c r="F31" s="14"/>
    </row>
    <row r="32" spans="1:17" x14ac:dyDescent="0.25">
      <c r="A32" s="14" t="s">
        <v>84</v>
      </c>
      <c r="B32" s="14" t="s">
        <v>67</v>
      </c>
      <c r="C32" s="13" t="s">
        <v>78</v>
      </c>
      <c r="D32" s="13">
        <v>5.1000000000000004E-4</v>
      </c>
      <c r="E32" s="14" t="s">
        <v>54</v>
      </c>
      <c r="F32" s="14"/>
    </row>
    <row r="33" spans="1:6" x14ac:dyDescent="0.25">
      <c r="A33" s="14" t="s">
        <v>85</v>
      </c>
      <c r="B33" s="14" t="s">
        <v>67</v>
      </c>
      <c r="C33" s="13" t="s">
        <v>78</v>
      </c>
      <c r="D33" s="13">
        <v>1.0999999999999999E-2</v>
      </c>
      <c r="E33" s="14" t="s">
        <v>54</v>
      </c>
      <c r="F33" s="14"/>
    </row>
    <row r="34" spans="1:6" x14ac:dyDescent="0.25">
      <c r="A34" s="14" t="s">
        <v>86</v>
      </c>
      <c r="B34" s="14" t="s">
        <v>67</v>
      </c>
      <c r="C34" s="13" t="s">
        <v>78</v>
      </c>
      <c r="D34" s="13">
        <v>1.4999999999999999E-2</v>
      </c>
      <c r="E34" s="14" t="s">
        <v>54</v>
      </c>
      <c r="F34" s="14"/>
    </row>
    <row r="35" spans="1:6" x14ac:dyDescent="0.25">
      <c r="A35" s="25" t="s">
        <v>87</v>
      </c>
      <c r="B35" s="14" t="s">
        <v>88</v>
      </c>
      <c r="C35" s="13" t="s">
        <v>89</v>
      </c>
      <c r="D35" s="13">
        <v>15.3</v>
      </c>
      <c r="E35" s="14" t="s">
        <v>90</v>
      </c>
      <c r="F35" s="14"/>
    </row>
    <row r="36" spans="1:6" x14ac:dyDescent="0.25">
      <c r="A36" s="25"/>
      <c r="B36" s="14" t="s">
        <v>91</v>
      </c>
      <c r="C36" s="13"/>
      <c r="D36" s="13">
        <v>1</v>
      </c>
      <c r="E36" s="14" t="s">
        <v>90</v>
      </c>
      <c r="F36" s="14"/>
    </row>
    <row r="37" spans="1:6" x14ac:dyDescent="0.25">
      <c r="A37" s="13" t="s">
        <v>92</v>
      </c>
      <c r="B37" s="14" t="s">
        <v>67</v>
      </c>
      <c r="C37" s="13" t="s">
        <v>93</v>
      </c>
      <c r="D37" s="13">
        <v>0.5</v>
      </c>
      <c r="E37" s="14" t="s">
        <v>54</v>
      </c>
      <c r="F37" s="14"/>
    </row>
    <row r="38" spans="1:6" x14ac:dyDescent="0.25">
      <c r="A38" s="13" t="s">
        <v>94</v>
      </c>
      <c r="B38" s="14" t="s">
        <v>67</v>
      </c>
      <c r="C38" s="13" t="s">
        <v>95</v>
      </c>
      <c r="D38" s="13">
        <v>0.56000000000000005</v>
      </c>
      <c r="E38" s="14" t="s">
        <v>54</v>
      </c>
      <c r="F38" s="14"/>
    </row>
    <row r="39" spans="1:6" x14ac:dyDescent="0.25">
      <c r="A39" s="13" t="s">
        <v>96</v>
      </c>
      <c r="B39" s="14" t="s">
        <v>67</v>
      </c>
      <c r="C39" s="13" t="s">
        <v>95</v>
      </c>
      <c r="D39" s="13">
        <v>0.84</v>
      </c>
      <c r="E39" s="14" t="s">
        <v>54</v>
      </c>
      <c r="F39" s="14"/>
    </row>
    <row r="40" spans="1:6" x14ac:dyDescent="0.25">
      <c r="A40" s="13" t="s">
        <v>97</v>
      </c>
      <c r="B40" s="14" t="s">
        <v>67</v>
      </c>
      <c r="C40" s="13" t="s">
        <v>95</v>
      </c>
      <c r="D40" s="13">
        <v>0.84</v>
      </c>
      <c r="E40" s="14" t="s">
        <v>54</v>
      </c>
      <c r="F40" s="14"/>
    </row>
    <row r="41" spans="1:6" x14ac:dyDescent="0.25">
      <c r="A41" s="13" t="s">
        <v>98</v>
      </c>
      <c r="B41" s="14" t="s">
        <v>67</v>
      </c>
      <c r="C41" s="13" t="s">
        <v>95</v>
      </c>
      <c r="D41" s="13">
        <v>0.84</v>
      </c>
      <c r="E41" s="14" t="s">
        <v>54</v>
      </c>
      <c r="F41" s="14"/>
    </row>
    <row r="42" spans="1:6" x14ac:dyDescent="0.25">
      <c r="A42" s="26" t="s">
        <v>99</v>
      </c>
      <c r="B42" s="23"/>
      <c r="C42" s="23"/>
      <c r="D42" s="23"/>
      <c r="E42" s="23"/>
      <c r="F42" s="23"/>
    </row>
    <row r="43" spans="1:6" x14ac:dyDescent="0.25">
      <c r="A43" s="14" t="s">
        <v>100</v>
      </c>
      <c r="B43" s="14" t="s">
        <v>101</v>
      </c>
      <c r="C43" s="13" t="s">
        <v>102</v>
      </c>
      <c r="D43" s="14">
        <f t="shared" ref="D43:D49" si="0">ROUND(0.000001*D18*$D$15,3)</f>
        <v>1.2E-2</v>
      </c>
      <c r="E43" s="14" t="s">
        <v>54</v>
      </c>
      <c r="F43" s="14" t="s">
        <v>103</v>
      </c>
    </row>
    <row r="44" spans="1:6" x14ac:dyDescent="0.25">
      <c r="A44" s="14" t="s">
        <v>69</v>
      </c>
      <c r="B44" s="14" t="s">
        <v>101</v>
      </c>
      <c r="C44" s="13" t="s">
        <v>102</v>
      </c>
      <c r="D44" s="14">
        <f t="shared" si="0"/>
        <v>1.022</v>
      </c>
      <c r="E44" s="14" t="s">
        <v>54</v>
      </c>
      <c r="F44" s="14" t="s">
        <v>103</v>
      </c>
    </row>
    <row r="45" spans="1:6" x14ac:dyDescent="0.25">
      <c r="A45" s="14" t="s">
        <v>70</v>
      </c>
      <c r="B45" s="14" t="s">
        <v>101</v>
      </c>
      <c r="C45" s="13" t="s">
        <v>102</v>
      </c>
      <c r="D45" s="14">
        <f t="shared" si="0"/>
        <v>0.71599999999999997</v>
      </c>
      <c r="E45" s="14" t="s">
        <v>54</v>
      </c>
      <c r="F45" s="14" t="s">
        <v>103</v>
      </c>
    </row>
    <row r="46" spans="1:6" x14ac:dyDescent="0.25">
      <c r="A46" s="14" t="s">
        <v>71</v>
      </c>
      <c r="B46" s="14" t="s">
        <v>101</v>
      </c>
      <c r="C46" s="13" t="s">
        <v>102</v>
      </c>
      <c r="D46" s="14">
        <f t="shared" si="0"/>
        <v>4.8000000000000001E-2</v>
      </c>
      <c r="E46" s="14" t="s">
        <v>54</v>
      </c>
      <c r="F46" s="14" t="s">
        <v>103</v>
      </c>
    </row>
    <row r="47" spans="1:6" x14ac:dyDescent="0.25">
      <c r="A47" s="14" t="s">
        <v>72</v>
      </c>
      <c r="B47" s="14" t="s">
        <v>101</v>
      </c>
      <c r="C47" s="13" t="s">
        <v>102</v>
      </c>
      <c r="D47" s="14">
        <f t="shared" si="0"/>
        <v>1.0999999999999999E-2</v>
      </c>
      <c r="E47" s="14" t="s">
        <v>54</v>
      </c>
      <c r="F47" s="14" t="s">
        <v>103</v>
      </c>
    </row>
    <row r="48" spans="1:6" x14ac:dyDescent="0.25">
      <c r="A48" s="14" t="s">
        <v>73</v>
      </c>
      <c r="B48" s="14" t="s">
        <v>101</v>
      </c>
      <c r="C48" s="13" t="s">
        <v>102</v>
      </c>
      <c r="D48" s="14">
        <f t="shared" si="0"/>
        <v>1.0999999999999999E-2</v>
      </c>
      <c r="E48" s="14" t="s">
        <v>54</v>
      </c>
      <c r="F48" s="14" t="s">
        <v>103</v>
      </c>
    </row>
    <row r="49" spans="1:6" x14ac:dyDescent="0.25">
      <c r="A49" s="14" t="s">
        <v>74</v>
      </c>
      <c r="B49" s="14" t="s">
        <v>101</v>
      </c>
      <c r="C49" s="13" t="s">
        <v>102</v>
      </c>
      <c r="D49" s="14">
        <f t="shared" si="0"/>
        <v>1.0999999999999999E-2</v>
      </c>
      <c r="E49" s="14" t="s">
        <v>54</v>
      </c>
      <c r="F49" s="14" t="s">
        <v>103</v>
      </c>
    </row>
    <row r="50" spans="1:6" x14ac:dyDescent="0.25">
      <c r="A50" s="14" t="s">
        <v>75</v>
      </c>
      <c r="B50" s="14" t="s">
        <v>101</v>
      </c>
      <c r="C50" s="13" t="s">
        <v>102</v>
      </c>
      <c r="D50" s="14">
        <f>ROUND(D49*D25/100,3)</f>
        <v>1E-3</v>
      </c>
      <c r="E50" s="14" t="s">
        <v>54</v>
      </c>
      <c r="F50" s="14" t="s">
        <v>104</v>
      </c>
    </row>
    <row r="51" spans="1:6" x14ac:dyDescent="0.25">
      <c r="A51" s="14" t="s">
        <v>77</v>
      </c>
      <c r="B51" s="14" t="s">
        <v>101</v>
      </c>
      <c r="C51" s="27" t="s">
        <v>105</v>
      </c>
      <c r="D51" s="14">
        <f>ROUND(0.000001*D26*$D$15,6)</f>
        <v>3.6000000000000001E-5</v>
      </c>
      <c r="E51" s="14" t="s">
        <v>54</v>
      </c>
      <c r="F51" s="14" t="s">
        <v>103</v>
      </c>
    </row>
    <row r="52" spans="1:6" x14ac:dyDescent="0.25">
      <c r="A52" s="14" t="s">
        <v>79</v>
      </c>
      <c r="B52" s="14" t="s">
        <v>101</v>
      </c>
      <c r="C52" s="27" t="s">
        <v>105</v>
      </c>
      <c r="D52" s="14">
        <f>ROUND(0.000001*D27*$D$15,7)</f>
        <v>6.0000000000000002E-6</v>
      </c>
      <c r="E52" s="14" t="s">
        <v>54</v>
      </c>
      <c r="F52" s="14" t="s">
        <v>103</v>
      </c>
    </row>
    <row r="53" spans="1:6" x14ac:dyDescent="0.25">
      <c r="A53" s="14" t="s">
        <v>80</v>
      </c>
      <c r="B53" s="14" t="s">
        <v>101</v>
      </c>
      <c r="C53" s="27" t="s">
        <v>105</v>
      </c>
      <c r="D53" s="14">
        <f>ROUND(0.000001*D28*$D$15,5)</f>
        <v>2.3900000000000002E-3</v>
      </c>
      <c r="E53" s="14" t="s">
        <v>54</v>
      </c>
      <c r="F53" s="14" t="s">
        <v>103</v>
      </c>
    </row>
    <row r="54" spans="1:6" x14ac:dyDescent="0.25">
      <c r="A54" s="14" t="s">
        <v>81</v>
      </c>
      <c r="B54" s="14" t="s">
        <v>101</v>
      </c>
      <c r="C54" s="27" t="s">
        <v>105</v>
      </c>
      <c r="D54" s="14">
        <f>ROUND(0.000001*D29*$D$15,5)</f>
        <v>2.8700000000000002E-3</v>
      </c>
      <c r="E54" s="14" t="s">
        <v>54</v>
      </c>
      <c r="F54" s="14" t="s">
        <v>103</v>
      </c>
    </row>
    <row r="55" spans="1:6" x14ac:dyDescent="0.25">
      <c r="A55" s="14" t="s">
        <v>82</v>
      </c>
      <c r="B55" s="14" t="s">
        <v>101</v>
      </c>
      <c r="C55" s="27" t="s">
        <v>105</v>
      </c>
      <c r="D55" s="14">
        <f>ROUND(0.000001*D30*$D$15,6)</f>
        <v>1.8E-5</v>
      </c>
      <c r="E55" s="14" t="s">
        <v>54</v>
      </c>
      <c r="F55" s="14" t="s">
        <v>103</v>
      </c>
    </row>
    <row r="56" spans="1:6" x14ac:dyDescent="0.25">
      <c r="A56" s="14" t="s">
        <v>83</v>
      </c>
      <c r="B56" s="14" t="s">
        <v>101</v>
      </c>
      <c r="C56" s="27" t="s">
        <v>105</v>
      </c>
      <c r="D56" s="14">
        <f>ROUND(0.000001*D31*$D$15,6)</f>
        <v>1.8E-5</v>
      </c>
      <c r="E56" s="14" t="s">
        <v>54</v>
      </c>
      <c r="F56" s="14" t="s">
        <v>103</v>
      </c>
    </row>
    <row r="57" spans="1:6" x14ac:dyDescent="0.25">
      <c r="A57" s="14" t="s">
        <v>84</v>
      </c>
      <c r="B57" s="14" t="s">
        <v>101</v>
      </c>
      <c r="C57" s="27" t="s">
        <v>105</v>
      </c>
      <c r="D57" s="14">
        <f>ROUND(0.000001*D32*$D$15,6)</f>
        <v>1.2E-5</v>
      </c>
      <c r="E57" s="14" t="s">
        <v>54</v>
      </c>
      <c r="F57" s="14" t="s">
        <v>103</v>
      </c>
    </row>
    <row r="58" spans="1:6" x14ac:dyDescent="0.25">
      <c r="A58" s="14" t="s">
        <v>85</v>
      </c>
      <c r="B58" s="14" t="s">
        <v>101</v>
      </c>
      <c r="C58" s="27" t="s">
        <v>105</v>
      </c>
      <c r="D58" s="14">
        <f>ROUND(0.000001*D33*$D$15,5)</f>
        <v>2.5999999999999998E-4</v>
      </c>
      <c r="E58" s="14" t="s">
        <v>54</v>
      </c>
      <c r="F58" s="14" t="s">
        <v>103</v>
      </c>
    </row>
    <row r="59" spans="1:6" x14ac:dyDescent="0.25">
      <c r="A59" s="14" t="s">
        <v>86</v>
      </c>
      <c r="B59" s="14" t="s">
        <v>101</v>
      </c>
      <c r="C59" s="27" t="s">
        <v>105</v>
      </c>
      <c r="D59" s="14">
        <f>ROUND(0.000001*D34*$D$15,5)</f>
        <v>3.6000000000000002E-4</v>
      </c>
      <c r="E59" s="14" t="s">
        <v>54</v>
      </c>
      <c r="F59" s="14" t="s">
        <v>103</v>
      </c>
    </row>
    <row r="60" spans="1:6" x14ac:dyDescent="0.25">
      <c r="A60" s="14" t="s">
        <v>87</v>
      </c>
      <c r="B60" s="14" t="s">
        <v>101</v>
      </c>
      <c r="C60" s="13" t="s">
        <v>102</v>
      </c>
      <c r="D60" s="14">
        <f>ROUND(D13*D14*D35*D36*3.664*0.001,3)</f>
        <v>1338.626</v>
      </c>
      <c r="E60" s="14" t="s">
        <v>90</v>
      </c>
      <c r="F60" s="14" t="s">
        <v>106</v>
      </c>
    </row>
    <row r="61" spans="1:6" x14ac:dyDescent="0.25">
      <c r="A61" s="13" t="s">
        <v>92</v>
      </c>
      <c r="B61" s="14" t="s">
        <v>101</v>
      </c>
      <c r="C61" s="13" t="s">
        <v>107</v>
      </c>
      <c r="D61" s="14">
        <f>ROUND(D37*$D$15/1000000,3)</f>
        <v>1.2E-2</v>
      </c>
      <c r="E61" s="14" t="s">
        <v>54</v>
      </c>
      <c r="F61" s="14" t="s">
        <v>103</v>
      </c>
    </row>
    <row r="62" spans="1:6" x14ac:dyDescent="0.25">
      <c r="A62" s="13" t="s">
        <v>94</v>
      </c>
      <c r="B62" s="14" t="s">
        <v>101</v>
      </c>
      <c r="C62" s="27" t="s">
        <v>105</v>
      </c>
      <c r="D62" s="14">
        <f>ROUND(D38*$D$15/1000000000,5)</f>
        <v>1.0000000000000001E-5</v>
      </c>
      <c r="E62" s="14" t="s">
        <v>54</v>
      </c>
      <c r="F62" s="14" t="s">
        <v>108</v>
      </c>
    </row>
    <row r="63" spans="1:6" x14ac:dyDescent="0.25">
      <c r="A63" s="13" t="s">
        <v>96</v>
      </c>
      <c r="B63" s="14" t="s">
        <v>101</v>
      </c>
      <c r="C63" s="27" t="s">
        <v>105</v>
      </c>
      <c r="D63" s="14">
        <f>ROUND(D39*$D$15/1000000000,5)</f>
        <v>2.0000000000000002E-5</v>
      </c>
      <c r="E63" s="14" t="s">
        <v>54</v>
      </c>
      <c r="F63" s="14" t="s">
        <v>108</v>
      </c>
    </row>
    <row r="64" spans="1:6" x14ac:dyDescent="0.25">
      <c r="A64" s="13" t="s">
        <v>97</v>
      </c>
      <c r="B64" s="14" t="s">
        <v>101</v>
      </c>
      <c r="C64" s="27" t="s">
        <v>105</v>
      </c>
      <c r="D64" s="14">
        <f>ROUND(D40*$D$15/1000000000,5)</f>
        <v>2.0000000000000002E-5</v>
      </c>
      <c r="E64" s="14" t="s">
        <v>54</v>
      </c>
      <c r="F64" s="14" t="s">
        <v>108</v>
      </c>
    </row>
    <row r="65" spans="1:6" x14ac:dyDescent="0.25">
      <c r="A65" s="13" t="s">
        <v>98</v>
      </c>
      <c r="B65" s="14" t="s">
        <v>101</v>
      </c>
      <c r="C65" s="27" t="s">
        <v>105</v>
      </c>
      <c r="D65" s="14">
        <f>ROUND(D41*$D$15/1000000000,5)</f>
        <v>2.0000000000000002E-5</v>
      </c>
      <c r="E65" s="14" t="s">
        <v>54</v>
      </c>
      <c r="F65" s="14" t="s">
        <v>108</v>
      </c>
    </row>
    <row r="66" spans="1:6" x14ac:dyDescent="0.25">
      <c r="A66" s="26" t="s">
        <v>109</v>
      </c>
      <c r="B66" s="23"/>
      <c r="C66" s="23"/>
      <c r="D66" s="23"/>
      <c r="E66" s="23"/>
      <c r="F66" s="23"/>
    </row>
    <row r="67" spans="1:6" x14ac:dyDescent="0.25">
      <c r="A67" s="14" t="s">
        <v>100</v>
      </c>
      <c r="B67" s="14" t="s">
        <v>110</v>
      </c>
      <c r="C67" s="27" t="s">
        <v>111</v>
      </c>
      <c r="D67" s="14">
        <f>ROUND(0.001*D18*D12,4)</f>
        <v>4.0000000000000002E-4</v>
      </c>
      <c r="E67" s="14" t="s">
        <v>54</v>
      </c>
      <c r="F67" s="14" t="s">
        <v>112</v>
      </c>
    </row>
    <row r="68" spans="1:6" x14ac:dyDescent="0.25">
      <c r="A68" s="14" t="s">
        <v>69</v>
      </c>
      <c r="B68" s="14" t="s">
        <v>110</v>
      </c>
      <c r="C68" s="27" t="s">
        <v>111</v>
      </c>
      <c r="D68" s="14">
        <f>ROUND(0.001*D19*D12,3)</f>
        <v>3.2000000000000001E-2</v>
      </c>
      <c r="E68" s="14" t="s">
        <v>54</v>
      </c>
      <c r="F68" s="14" t="s">
        <v>112</v>
      </c>
    </row>
    <row r="69" spans="1:6" x14ac:dyDescent="0.25">
      <c r="A69" s="14" t="s">
        <v>70</v>
      </c>
      <c r="B69" s="14" t="s">
        <v>110</v>
      </c>
      <c r="C69" s="27" t="s">
        <v>111</v>
      </c>
      <c r="D69" s="14">
        <f>ROUND(0.001*D20*D12,3)</f>
        <v>2.3E-2</v>
      </c>
      <c r="E69" s="14" t="s">
        <v>54</v>
      </c>
      <c r="F69" s="14" t="s">
        <v>112</v>
      </c>
    </row>
    <row r="70" spans="1:6" x14ac:dyDescent="0.25">
      <c r="A70" s="14" t="s">
        <v>71</v>
      </c>
      <c r="B70" s="14" t="s">
        <v>110</v>
      </c>
      <c r="C70" s="27" t="s">
        <v>111</v>
      </c>
      <c r="D70" s="14">
        <f>ROUND(0.001*D21*D12,3)</f>
        <v>2E-3</v>
      </c>
      <c r="E70" s="14" t="s">
        <v>54</v>
      </c>
      <c r="F70" s="14" t="s">
        <v>112</v>
      </c>
    </row>
    <row r="71" spans="1:6" x14ac:dyDescent="0.25">
      <c r="A71" s="14" t="s">
        <v>72</v>
      </c>
      <c r="B71" s="14" t="s">
        <v>110</v>
      </c>
      <c r="C71" s="27" t="s">
        <v>111</v>
      </c>
      <c r="D71" s="14">
        <f>ROUND(0.001*D22*D12,4)</f>
        <v>2.9999999999999997E-4</v>
      </c>
      <c r="E71" s="14" t="s">
        <v>54</v>
      </c>
      <c r="F71" s="14" t="s">
        <v>112</v>
      </c>
    </row>
    <row r="72" spans="1:6" x14ac:dyDescent="0.25">
      <c r="A72" s="14" t="s">
        <v>73</v>
      </c>
      <c r="B72" s="14" t="s">
        <v>110</v>
      </c>
      <c r="C72" s="27" t="s">
        <v>111</v>
      </c>
      <c r="D72" s="14">
        <f>ROUND(0.001*D23*D12,4)</f>
        <v>2.9999999999999997E-4</v>
      </c>
      <c r="E72" s="14" t="s">
        <v>54</v>
      </c>
      <c r="F72" s="14" t="s">
        <v>112</v>
      </c>
    </row>
    <row r="73" spans="1:6" x14ac:dyDescent="0.25">
      <c r="A73" s="14" t="s">
        <v>74</v>
      </c>
      <c r="B73" s="14" t="s">
        <v>110</v>
      </c>
      <c r="C73" s="27" t="s">
        <v>111</v>
      </c>
      <c r="D73" s="14">
        <f>ROUND(0.001*D24*D12,4)</f>
        <v>2.9999999999999997E-4</v>
      </c>
      <c r="E73" s="14" t="s">
        <v>54</v>
      </c>
      <c r="F73" s="14" t="s">
        <v>112</v>
      </c>
    </row>
    <row r="74" spans="1:6" x14ac:dyDescent="0.25">
      <c r="A74" s="14" t="s">
        <v>77</v>
      </c>
      <c r="B74" s="14" t="s">
        <v>110</v>
      </c>
      <c r="C74" s="27" t="s">
        <v>111</v>
      </c>
      <c r="D74" s="28">
        <f>ROUND(0.001*D26*D12/1000,9)</f>
        <v>1.0000000000000001E-9</v>
      </c>
      <c r="E74" s="14" t="s">
        <v>54</v>
      </c>
      <c r="F74" s="14" t="s">
        <v>113</v>
      </c>
    </row>
    <row r="75" spans="1:6" x14ac:dyDescent="0.25">
      <c r="A75" s="14" t="s">
        <v>79</v>
      </c>
      <c r="B75" s="14" t="s">
        <v>110</v>
      </c>
      <c r="C75" s="27" t="s">
        <v>111</v>
      </c>
      <c r="D75" s="29">
        <f>ROUND(0.001*D27*D12/1000,10)</f>
        <v>2.0000000000000001E-10</v>
      </c>
      <c r="E75" s="14" t="s">
        <v>54</v>
      </c>
      <c r="F75" s="14" t="s">
        <v>113</v>
      </c>
    </row>
    <row r="76" spans="1:6" x14ac:dyDescent="0.25">
      <c r="A76" s="14" t="s">
        <v>80</v>
      </c>
      <c r="B76" s="14" t="s">
        <v>110</v>
      </c>
      <c r="C76" s="27" t="s">
        <v>111</v>
      </c>
      <c r="D76" s="14">
        <f>ROUND(0.001*D28*D12/1000,7)</f>
        <v>9.9999999999999995E-8</v>
      </c>
      <c r="E76" s="14" t="s">
        <v>54</v>
      </c>
      <c r="F76" s="14" t="s">
        <v>113</v>
      </c>
    </row>
    <row r="77" spans="1:6" x14ac:dyDescent="0.25">
      <c r="A77" s="14" t="s">
        <v>81</v>
      </c>
      <c r="B77" s="14" t="s">
        <v>110</v>
      </c>
      <c r="C77" s="27" t="s">
        <v>111</v>
      </c>
      <c r="D77" s="14">
        <f>ROUND(0.001*D29*D12/1000,7)</f>
        <v>9.9999999999999995E-8</v>
      </c>
      <c r="E77" s="14" t="s">
        <v>54</v>
      </c>
      <c r="F77" s="14" t="s">
        <v>113</v>
      </c>
    </row>
    <row r="78" spans="1:6" x14ac:dyDescent="0.25">
      <c r="A78" s="14" t="s">
        <v>82</v>
      </c>
      <c r="B78" s="14" t="s">
        <v>110</v>
      </c>
      <c r="C78" s="27" t="s">
        <v>111</v>
      </c>
      <c r="D78" s="14">
        <f>ROUND(0.001*D30*D12/1000,9)</f>
        <v>1.0000000000000001E-9</v>
      </c>
      <c r="E78" s="14" t="s">
        <v>54</v>
      </c>
      <c r="F78" s="14" t="s">
        <v>113</v>
      </c>
    </row>
    <row r="79" spans="1:6" x14ac:dyDescent="0.25">
      <c r="A79" s="14" t="s">
        <v>83</v>
      </c>
      <c r="B79" s="14" t="s">
        <v>110</v>
      </c>
      <c r="C79" s="27" t="s">
        <v>111</v>
      </c>
      <c r="D79" s="14">
        <f>ROUND(0.001*D31*D12/1000,9)</f>
        <v>1.0000000000000001E-9</v>
      </c>
      <c r="E79" s="14" t="s">
        <v>54</v>
      </c>
      <c r="F79" s="14" t="s">
        <v>113</v>
      </c>
    </row>
    <row r="80" spans="1:6" x14ac:dyDescent="0.25">
      <c r="A80" s="14" t="s">
        <v>84</v>
      </c>
      <c r="B80" s="14" t="s">
        <v>110</v>
      </c>
      <c r="C80" s="27" t="s">
        <v>111</v>
      </c>
      <c r="D80" s="29">
        <f>ROUND(0.001*D32*D12/1000,10)</f>
        <v>4.0000000000000001E-10</v>
      </c>
      <c r="E80" s="14" t="s">
        <v>54</v>
      </c>
      <c r="F80" s="14" t="s">
        <v>113</v>
      </c>
    </row>
    <row r="81" spans="1:6" x14ac:dyDescent="0.25">
      <c r="A81" s="14" t="s">
        <v>85</v>
      </c>
      <c r="B81" s="14" t="s">
        <v>110</v>
      </c>
      <c r="C81" s="27" t="s">
        <v>111</v>
      </c>
      <c r="D81" s="14">
        <f>ROUND(0.001*D33*D12/1000,8)</f>
        <v>1E-8</v>
      </c>
      <c r="E81" s="14" t="s">
        <v>54</v>
      </c>
      <c r="F81" s="14" t="s">
        <v>113</v>
      </c>
    </row>
    <row r="82" spans="1:6" x14ac:dyDescent="0.25">
      <c r="A82" s="14" t="s">
        <v>86</v>
      </c>
      <c r="B82" s="14" t="s">
        <v>110</v>
      </c>
      <c r="C82" s="27" t="s">
        <v>111</v>
      </c>
      <c r="D82" s="14">
        <f>ROUND(0.001*D34*D12/1000,8)</f>
        <v>1E-8</v>
      </c>
      <c r="E82" s="14" t="s">
        <v>54</v>
      </c>
      <c r="F82" s="14" t="s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BAB0-A196-403E-9941-7CB531D99569}">
  <dimension ref="A1:S83"/>
  <sheetViews>
    <sheetView tabSelected="1" workbookViewId="0">
      <selection activeCell="Y9" sqref="Y9"/>
    </sheetView>
  </sheetViews>
  <sheetFormatPr defaultRowHeight="15" x14ac:dyDescent="0.25"/>
  <cols>
    <col min="1" max="1" width="31.28515625" customWidth="1"/>
    <col min="2" max="2" width="16.7109375" customWidth="1"/>
    <col min="3" max="3" width="20.7109375" customWidth="1"/>
    <col min="4" max="4" width="14.7109375" customWidth="1"/>
    <col min="5" max="5" width="31.7109375" customWidth="1"/>
    <col min="6" max="6" width="19.85546875" customWidth="1"/>
    <col min="8" max="8" width="45.28515625" customWidth="1"/>
    <col min="9" max="9" width="23" customWidth="1"/>
    <col min="10" max="10" width="25.28515625" customWidth="1"/>
    <col min="11" max="11" width="19.140625" customWidth="1"/>
    <col min="12" max="12" width="26.85546875" customWidth="1"/>
    <col min="19" max="19" width="21.85546875" customWidth="1"/>
  </cols>
  <sheetData>
    <row r="1" spans="1:19" ht="21" x14ac:dyDescent="0.35">
      <c r="A1" s="1" t="s">
        <v>0</v>
      </c>
      <c r="B1" s="2"/>
    </row>
    <row r="2" spans="1:19" ht="18.75" x14ac:dyDescent="0.3">
      <c r="A2" s="3"/>
      <c r="B2" s="2"/>
      <c r="F2" s="4" t="s">
        <v>1</v>
      </c>
      <c r="K2" s="2"/>
    </row>
    <row r="3" spans="1:19" ht="45" x14ac:dyDescent="0.3">
      <c r="A3" s="5" t="s">
        <v>2</v>
      </c>
      <c r="B3" s="5" t="s">
        <v>114</v>
      </c>
      <c r="F3" s="6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</row>
    <row r="4" spans="1:19" ht="18.75" x14ac:dyDescent="0.3">
      <c r="A4" s="5" t="s">
        <v>10</v>
      </c>
      <c r="B4" s="3" t="s">
        <v>115</v>
      </c>
      <c r="F4" s="30">
        <v>3.3</v>
      </c>
      <c r="G4" s="30">
        <v>0.2</v>
      </c>
      <c r="H4" s="30">
        <f>I16</f>
        <v>5</v>
      </c>
      <c r="I4" s="30">
        <v>300</v>
      </c>
      <c r="J4" s="8">
        <v>6591507</v>
      </c>
      <c r="K4" s="8">
        <v>736834</v>
      </c>
    </row>
    <row r="5" spans="1:19" x14ac:dyDescent="0.25">
      <c r="A5" t="s">
        <v>116</v>
      </c>
      <c r="B5">
        <v>8760</v>
      </c>
      <c r="C5" t="s">
        <v>13</v>
      </c>
    </row>
    <row r="7" spans="1:19" x14ac:dyDescent="0.25">
      <c r="H7" s="4" t="s">
        <v>14</v>
      </c>
      <c r="P7" s="4" t="s">
        <v>15</v>
      </c>
    </row>
    <row r="8" spans="1:19" x14ac:dyDescent="0.25">
      <c r="A8" s="9" t="s">
        <v>16</v>
      </c>
      <c r="B8" s="9" t="s">
        <v>17</v>
      </c>
      <c r="C8" s="9" t="s">
        <v>18</v>
      </c>
      <c r="D8" s="21" t="s">
        <v>19</v>
      </c>
      <c r="E8" s="11" t="s">
        <v>20</v>
      </c>
      <c r="F8" s="9" t="s">
        <v>21</v>
      </c>
      <c r="H8" s="12" t="s">
        <v>22</v>
      </c>
      <c r="I8" s="13">
        <v>0.25</v>
      </c>
      <c r="J8" s="13" t="s">
        <v>23</v>
      </c>
      <c r="P8" s="14" t="s">
        <v>16</v>
      </c>
      <c r="Q8" s="14" t="s">
        <v>24</v>
      </c>
      <c r="R8" s="14" t="s">
        <v>18</v>
      </c>
      <c r="S8" s="14" t="s">
        <v>21</v>
      </c>
    </row>
    <row r="9" spans="1:19" ht="42" customHeight="1" x14ac:dyDescent="0.25">
      <c r="A9" s="15" t="s">
        <v>25</v>
      </c>
      <c r="B9" s="14"/>
      <c r="C9" s="14"/>
      <c r="D9" s="14" t="s">
        <v>117</v>
      </c>
      <c r="E9" s="14" t="s">
        <v>27</v>
      </c>
      <c r="F9" s="14"/>
      <c r="H9" s="12" t="s">
        <v>28</v>
      </c>
      <c r="I9" s="13">
        <v>3</v>
      </c>
      <c r="J9" s="13" t="s">
        <v>29</v>
      </c>
      <c r="P9" s="13" t="s">
        <v>118</v>
      </c>
      <c r="Q9" s="13">
        <f>ROUND(D11*D14*D13*1000/3600,0)</f>
        <v>2774</v>
      </c>
      <c r="R9" s="13" t="s">
        <v>31</v>
      </c>
      <c r="S9" s="14" t="s">
        <v>32</v>
      </c>
    </row>
    <row r="10" spans="1:19" x14ac:dyDescent="0.25">
      <c r="A10" s="14"/>
      <c r="B10" s="14"/>
      <c r="C10" s="14"/>
      <c r="D10" s="14"/>
      <c r="E10" s="14"/>
      <c r="F10" s="14"/>
    </row>
    <row r="11" spans="1:19" x14ac:dyDescent="0.25">
      <c r="A11" s="14" t="s">
        <v>33</v>
      </c>
      <c r="B11" s="14" t="s">
        <v>34</v>
      </c>
      <c r="C11" s="14"/>
      <c r="D11" s="14">
        <v>0.95</v>
      </c>
      <c r="E11" s="14" t="s">
        <v>27</v>
      </c>
      <c r="F11" s="14"/>
      <c r="H11" s="16" t="s">
        <v>16</v>
      </c>
      <c r="I11" s="31" t="s">
        <v>24</v>
      </c>
      <c r="J11" s="16" t="s">
        <v>18</v>
      </c>
      <c r="K11" s="16" t="s">
        <v>21</v>
      </c>
      <c r="M11" s="18"/>
    </row>
    <row r="12" spans="1:19" x14ac:dyDescent="0.25">
      <c r="A12" s="15" t="s">
        <v>35</v>
      </c>
      <c r="B12" s="14" t="s">
        <v>36</v>
      </c>
      <c r="C12" s="14" t="s">
        <v>37</v>
      </c>
      <c r="D12" s="14">
        <v>0.23200000000000001</v>
      </c>
      <c r="E12" s="14" t="s">
        <v>27</v>
      </c>
      <c r="F12" s="14"/>
      <c r="H12" s="13" t="s">
        <v>38</v>
      </c>
      <c r="I12" s="13">
        <f>ROUND(D12*I8,2)</f>
        <v>0.06</v>
      </c>
      <c r="J12" s="13" t="s">
        <v>39</v>
      </c>
      <c r="K12" s="14" t="s">
        <v>40</v>
      </c>
      <c r="M12" s="18"/>
    </row>
    <row r="13" spans="1:19" x14ac:dyDescent="0.25">
      <c r="A13" s="15" t="s">
        <v>41</v>
      </c>
      <c r="B13" s="14" t="s">
        <v>42</v>
      </c>
      <c r="C13" s="14" t="s">
        <v>43</v>
      </c>
      <c r="D13" s="14">
        <v>350.4</v>
      </c>
      <c r="E13" s="14" t="s">
        <v>27</v>
      </c>
      <c r="F13" s="14"/>
      <c r="H13" s="13" t="s">
        <v>44</v>
      </c>
      <c r="I13" s="13">
        <f>ROUND(20.9/(20.9-I9),2)</f>
        <v>1.17</v>
      </c>
      <c r="J13" s="13"/>
      <c r="K13" s="14" t="s">
        <v>45</v>
      </c>
      <c r="M13" s="18"/>
    </row>
    <row r="14" spans="1:19" x14ac:dyDescent="0.25">
      <c r="A14" s="15" t="s">
        <v>46</v>
      </c>
      <c r="B14" s="14" t="s">
        <v>47</v>
      </c>
      <c r="C14" s="14" t="s">
        <v>48</v>
      </c>
      <c r="D14" s="14">
        <v>30</v>
      </c>
      <c r="E14" s="14" t="s">
        <v>27</v>
      </c>
      <c r="F14" s="14"/>
      <c r="H14" s="13" t="s">
        <v>49</v>
      </c>
      <c r="I14" s="13">
        <f>ROUND(I12*I13,2)</f>
        <v>7.0000000000000007E-2</v>
      </c>
      <c r="J14" s="13" t="s">
        <v>39</v>
      </c>
      <c r="K14" s="14" t="s">
        <v>50</v>
      </c>
      <c r="M14" s="18"/>
    </row>
    <row r="15" spans="1:19" x14ac:dyDescent="0.25">
      <c r="A15" s="15" t="s">
        <v>51</v>
      </c>
      <c r="B15" s="14" t="s">
        <v>52</v>
      </c>
      <c r="C15" s="14" t="s">
        <v>53</v>
      </c>
      <c r="D15" s="14">
        <f>ROUND(D14*D13,3)</f>
        <v>10512</v>
      </c>
      <c r="E15" s="14" t="s">
        <v>54</v>
      </c>
      <c r="F15" s="14" t="s">
        <v>55</v>
      </c>
      <c r="H15" s="13" t="s">
        <v>56</v>
      </c>
      <c r="I15" s="13">
        <f>ROUND(I14*((273+I4)/273),2)</f>
        <v>0.15</v>
      </c>
      <c r="J15" s="13" t="s">
        <v>57</v>
      </c>
      <c r="K15" s="14" t="s">
        <v>58</v>
      </c>
    </row>
    <row r="16" spans="1:19" x14ac:dyDescent="0.25">
      <c r="A16" s="15" t="s">
        <v>59</v>
      </c>
      <c r="B16" s="14" t="s">
        <v>60</v>
      </c>
      <c r="C16" s="14" t="s">
        <v>57</v>
      </c>
      <c r="D16" s="14">
        <f>ROUND(D12/D14,2)</f>
        <v>0.01</v>
      </c>
      <c r="E16" s="14"/>
      <c r="F16" s="14" t="s">
        <v>61</v>
      </c>
      <c r="H16" s="20" t="s">
        <v>62</v>
      </c>
      <c r="I16" s="14">
        <f>ROUND(I15*4/(PI()*G4^2),0)</f>
        <v>5</v>
      </c>
      <c r="J16" s="13" t="s">
        <v>63</v>
      </c>
      <c r="K16" s="14" t="s">
        <v>64</v>
      </c>
    </row>
    <row r="17" spans="1:13" x14ac:dyDescent="0.25">
      <c r="A17" s="21" t="s">
        <v>65</v>
      </c>
      <c r="B17" s="22"/>
      <c r="C17" s="22"/>
      <c r="D17" s="23"/>
      <c r="E17" s="23"/>
      <c r="F17" s="23"/>
    </row>
    <row r="18" spans="1:13" x14ac:dyDescent="0.25">
      <c r="A18" s="32" t="s">
        <v>119</v>
      </c>
      <c r="B18" s="32" t="s">
        <v>120</v>
      </c>
      <c r="C18" s="32" t="s">
        <v>29</v>
      </c>
      <c r="D18" s="33">
        <v>0.28000000000000003</v>
      </c>
      <c r="E18" s="14" t="s">
        <v>27</v>
      </c>
      <c r="F18" s="33"/>
      <c r="H18" s="34" t="s">
        <v>121</v>
      </c>
      <c r="I18" s="18"/>
      <c r="J18" s="18"/>
    </row>
    <row r="19" spans="1:13" x14ac:dyDescent="0.25">
      <c r="A19" s="14"/>
      <c r="B19" s="20"/>
      <c r="C19" s="13"/>
      <c r="D19" s="14"/>
      <c r="E19" s="14"/>
      <c r="F19" s="14"/>
      <c r="H19" s="18" t="s">
        <v>122</v>
      </c>
    </row>
    <row r="20" spans="1:13" x14ac:dyDescent="0.25">
      <c r="A20" s="14" t="s">
        <v>69</v>
      </c>
      <c r="B20" s="14" t="s">
        <v>67</v>
      </c>
      <c r="C20" s="13" t="s">
        <v>68</v>
      </c>
      <c r="D20" s="13">
        <v>42.8</v>
      </c>
      <c r="E20" s="14" t="s">
        <v>54</v>
      </c>
      <c r="F20" s="14"/>
    </row>
    <row r="21" spans="1:13" x14ac:dyDescent="0.25">
      <c r="A21" s="14" t="s">
        <v>70</v>
      </c>
      <c r="B21" s="14" t="s">
        <v>67</v>
      </c>
      <c r="C21" s="13" t="s">
        <v>68</v>
      </c>
      <c r="D21" s="13">
        <v>30</v>
      </c>
      <c r="E21" s="14" t="s">
        <v>54</v>
      </c>
      <c r="F21" s="14"/>
      <c r="H21" t="s">
        <v>123</v>
      </c>
      <c r="M21" s="24"/>
    </row>
    <row r="22" spans="1:13" x14ac:dyDescent="0.25">
      <c r="A22" s="14" t="s">
        <v>71</v>
      </c>
      <c r="B22" s="14" t="s">
        <v>67</v>
      </c>
      <c r="C22" s="13" t="s">
        <v>68</v>
      </c>
      <c r="D22" s="13">
        <v>2</v>
      </c>
      <c r="E22" s="14" t="s">
        <v>54</v>
      </c>
      <c r="F22" s="14"/>
      <c r="H22" t="s">
        <v>124</v>
      </c>
    </row>
    <row r="23" spans="1:13" x14ac:dyDescent="0.25">
      <c r="A23" s="14" t="s">
        <v>72</v>
      </c>
      <c r="B23" s="14" t="s">
        <v>67</v>
      </c>
      <c r="C23" s="13" t="s">
        <v>68</v>
      </c>
      <c r="D23" s="13">
        <v>0.45</v>
      </c>
      <c r="E23" s="14" t="s">
        <v>54</v>
      </c>
      <c r="F23" s="14"/>
    </row>
    <row r="24" spans="1:13" x14ac:dyDescent="0.25">
      <c r="A24" s="14" t="s">
        <v>73</v>
      </c>
      <c r="B24" s="14" t="s">
        <v>67</v>
      </c>
      <c r="C24" s="13" t="s">
        <v>68</v>
      </c>
      <c r="D24" s="13">
        <v>0.45</v>
      </c>
      <c r="E24" s="14" t="s">
        <v>54</v>
      </c>
      <c r="F24" s="14"/>
      <c r="H24" s="16" t="s">
        <v>16</v>
      </c>
      <c r="I24" s="16" t="s">
        <v>17</v>
      </c>
      <c r="J24" s="16" t="s">
        <v>24</v>
      </c>
      <c r="K24" s="16" t="s">
        <v>18</v>
      </c>
      <c r="L24" s="16" t="s">
        <v>21</v>
      </c>
    </row>
    <row r="25" spans="1:13" x14ac:dyDescent="0.25">
      <c r="A25" s="14" t="s">
        <v>74</v>
      </c>
      <c r="B25" s="14" t="s">
        <v>67</v>
      </c>
      <c r="C25" s="13" t="s">
        <v>68</v>
      </c>
      <c r="D25" s="13">
        <v>0.45</v>
      </c>
      <c r="E25" s="14" t="s">
        <v>54</v>
      </c>
      <c r="F25" s="14"/>
      <c r="H25" s="40" t="s">
        <v>125</v>
      </c>
      <c r="I25" s="41"/>
      <c r="J25" s="41"/>
      <c r="K25" s="41"/>
      <c r="L25" s="42"/>
    </row>
    <row r="26" spans="1:13" x14ac:dyDescent="0.25">
      <c r="A26" s="14" t="s">
        <v>75</v>
      </c>
      <c r="B26" s="14" t="s">
        <v>67</v>
      </c>
      <c r="C26" s="13" t="s">
        <v>76</v>
      </c>
      <c r="D26" s="13">
        <v>5.4</v>
      </c>
      <c r="E26" s="14" t="s">
        <v>54</v>
      </c>
      <c r="F26" s="14"/>
      <c r="H26" s="14" t="s">
        <v>126</v>
      </c>
      <c r="I26" s="14" t="s">
        <v>127</v>
      </c>
      <c r="J26" s="14">
        <f>ROUND(D13*(273/(273+20)),0)</f>
        <v>326</v>
      </c>
      <c r="K26" s="14" t="s">
        <v>128</v>
      </c>
      <c r="L26" s="14" t="s">
        <v>129</v>
      </c>
    </row>
    <row r="27" spans="1:13" x14ac:dyDescent="0.25">
      <c r="A27" s="14" t="s">
        <v>77</v>
      </c>
      <c r="B27" s="14" t="s">
        <v>67</v>
      </c>
      <c r="C27" s="13" t="s">
        <v>78</v>
      </c>
      <c r="D27" s="13">
        <v>1.5E-3</v>
      </c>
      <c r="E27" s="14" t="s">
        <v>54</v>
      </c>
      <c r="F27" s="14"/>
      <c r="H27" s="13" t="s">
        <v>130</v>
      </c>
      <c r="I27" s="14" t="s">
        <v>131</v>
      </c>
      <c r="J27" s="13">
        <f>ROUND(J26*(D18/100)*1000,3)</f>
        <v>912.8</v>
      </c>
      <c r="K27" s="13" t="s">
        <v>132</v>
      </c>
      <c r="L27" s="14" t="s">
        <v>133</v>
      </c>
    </row>
    <row r="28" spans="1:13" ht="53.25" customHeight="1" x14ac:dyDescent="0.25">
      <c r="A28" s="14" t="s">
        <v>79</v>
      </c>
      <c r="B28" s="14" t="s">
        <v>67</v>
      </c>
      <c r="C28" s="13" t="s">
        <v>78</v>
      </c>
      <c r="D28" s="13">
        <v>2.5000000000000001E-4</v>
      </c>
      <c r="E28" s="14" t="s">
        <v>54</v>
      </c>
      <c r="F28" s="14"/>
      <c r="H28" s="12" t="s">
        <v>134</v>
      </c>
      <c r="I28" s="14" t="s">
        <v>135</v>
      </c>
      <c r="J28" s="13">
        <f>ROUND(J27/22.4,3)</f>
        <v>40.75</v>
      </c>
      <c r="K28" s="13" t="s">
        <v>136</v>
      </c>
      <c r="L28" s="14" t="s">
        <v>137</v>
      </c>
    </row>
    <row r="29" spans="1:13" ht="45" customHeight="1" x14ac:dyDescent="0.25">
      <c r="A29" s="14" t="s">
        <v>80</v>
      </c>
      <c r="B29" s="14" t="s">
        <v>67</v>
      </c>
      <c r="C29" s="13" t="s">
        <v>78</v>
      </c>
      <c r="D29" s="13">
        <v>0.1</v>
      </c>
      <c r="E29" s="14" t="s">
        <v>54</v>
      </c>
      <c r="F29" s="14"/>
      <c r="H29" s="20" t="s">
        <v>138</v>
      </c>
      <c r="I29" s="14" t="s">
        <v>139</v>
      </c>
      <c r="J29" s="14">
        <f>J28-(J28*80/100)</f>
        <v>8.1499999999999986</v>
      </c>
      <c r="K29" s="13" t="s">
        <v>136</v>
      </c>
      <c r="L29" s="14" t="s">
        <v>140</v>
      </c>
    </row>
    <row r="30" spans="1:13" x14ac:dyDescent="0.25">
      <c r="A30" s="14" t="s">
        <v>81</v>
      </c>
      <c r="B30" s="14" t="s">
        <v>67</v>
      </c>
      <c r="C30" s="13" t="s">
        <v>78</v>
      </c>
      <c r="D30" s="13">
        <v>0.12</v>
      </c>
      <c r="E30" s="14" t="s">
        <v>54</v>
      </c>
      <c r="F30" s="14"/>
      <c r="H30" s="13" t="s">
        <v>141</v>
      </c>
      <c r="I30" s="14" t="s">
        <v>142</v>
      </c>
      <c r="J30" s="13">
        <v>64</v>
      </c>
      <c r="K30" s="13" t="s">
        <v>143</v>
      </c>
      <c r="L30" s="14"/>
    </row>
    <row r="31" spans="1:13" x14ac:dyDescent="0.25">
      <c r="A31" s="14" t="s">
        <v>82</v>
      </c>
      <c r="B31" s="14" t="s">
        <v>67</v>
      </c>
      <c r="C31" s="13" t="s">
        <v>78</v>
      </c>
      <c r="D31" s="13">
        <v>7.6000000000000004E-4</v>
      </c>
      <c r="E31" s="14" t="s">
        <v>54</v>
      </c>
      <c r="F31" s="14"/>
      <c r="H31" s="35" t="s">
        <v>144</v>
      </c>
      <c r="I31" s="36"/>
      <c r="J31" s="36"/>
      <c r="K31" s="36"/>
      <c r="L31" s="37"/>
    </row>
    <row r="32" spans="1:13" x14ac:dyDescent="0.25">
      <c r="A32" s="14" t="s">
        <v>83</v>
      </c>
      <c r="B32" s="14" t="s">
        <v>67</v>
      </c>
      <c r="C32" s="13" t="s">
        <v>78</v>
      </c>
      <c r="D32" s="13">
        <v>7.6000000000000004E-4</v>
      </c>
      <c r="E32" s="14" t="s">
        <v>54</v>
      </c>
      <c r="F32" s="14"/>
      <c r="H32" s="14" t="s">
        <v>126</v>
      </c>
      <c r="I32" s="14" t="s">
        <v>145</v>
      </c>
      <c r="J32" s="14">
        <f>ROUND(D16*(273/(273+20)),2)</f>
        <v>0.01</v>
      </c>
      <c r="K32" s="14" t="s">
        <v>39</v>
      </c>
      <c r="L32" s="14" t="s">
        <v>129</v>
      </c>
    </row>
    <row r="33" spans="1:12" x14ac:dyDescent="0.25">
      <c r="A33" s="14" t="s">
        <v>84</v>
      </c>
      <c r="B33" s="14" t="s">
        <v>67</v>
      </c>
      <c r="C33" s="13" t="s">
        <v>78</v>
      </c>
      <c r="D33" s="13">
        <v>5.1000000000000004E-4</v>
      </c>
      <c r="E33" s="14" t="s">
        <v>54</v>
      </c>
      <c r="F33" s="14"/>
      <c r="H33" s="13" t="s">
        <v>130</v>
      </c>
      <c r="I33" s="14" t="s">
        <v>146</v>
      </c>
      <c r="J33" s="13">
        <f>ROUND(J32*(D18/100),5)</f>
        <v>3.0000000000000001E-5</v>
      </c>
      <c r="K33" s="13" t="s">
        <v>39</v>
      </c>
      <c r="L33" s="14" t="s">
        <v>147</v>
      </c>
    </row>
    <row r="34" spans="1:12" ht="21" customHeight="1" x14ac:dyDescent="0.25">
      <c r="A34" s="14" t="s">
        <v>85</v>
      </c>
      <c r="B34" s="14" t="s">
        <v>67</v>
      </c>
      <c r="C34" s="13" t="s">
        <v>78</v>
      </c>
      <c r="D34" s="13">
        <v>1.0999999999999999E-2</v>
      </c>
      <c r="E34" s="14" t="s">
        <v>54</v>
      </c>
      <c r="F34" s="14"/>
      <c r="H34" s="12" t="s">
        <v>134</v>
      </c>
      <c r="I34" s="14" t="s">
        <v>148</v>
      </c>
      <c r="J34" s="13">
        <f>ROUND(J33/22.4,6)</f>
        <v>9.9999999999999995E-7</v>
      </c>
      <c r="K34" s="13" t="s">
        <v>149</v>
      </c>
      <c r="L34" s="14" t="s">
        <v>137</v>
      </c>
    </row>
    <row r="35" spans="1:12" ht="26.25" customHeight="1" x14ac:dyDescent="0.25">
      <c r="A35" s="14" t="s">
        <v>86</v>
      </c>
      <c r="B35" s="14" t="s">
        <v>67</v>
      </c>
      <c r="C35" s="13" t="s">
        <v>78</v>
      </c>
      <c r="D35" s="13">
        <v>1.4999999999999999E-2</v>
      </c>
      <c r="E35" s="14" t="s">
        <v>54</v>
      </c>
      <c r="F35" s="14"/>
      <c r="H35" s="20" t="s">
        <v>138</v>
      </c>
      <c r="I35" s="14" t="s">
        <v>150</v>
      </c>
      <c r="J35" s="14">
        <f>J34-(J34*80/100)</f>
        <v>1.9999999999999999E-7</v>
      </c>
      <c r="K35" s="13" t="s">
        <v>149</v>
      </c>
      <c r="L35" s="14" t="s">
        <v>151</v>
      </c>
    </row>
    <row r="36" spans="1:12" x14ac:dyDescent="0.25">
      <c r="A36" s="43" t="s">
        <v>87</v>
      </c>
      <c r="B36" s="14" t="s">
        <v>88</v>
      </c>
      <c r="C36" s="13" t="s">
        <v>89</v>
      </c>
      <c r="D36" s="13">
        <v>15.3</v>
      </c>
      <c r="E36" s="14" t="s">
        <v>90</v>
      </c>
      <c r="F36" s="14"/>
      <c r="H36" s="13" t="s">
        <v>141</v>
      </c>
      <c r="I36" s="14" t="s">
        <v>142</v>
      </c>
      <c r="J36" s="13">
        <v>64</v>
      </c>
      <c r="K36" s="13" t="s">
        <v>143</v>
      </c>
      <c r="L36" s="14"/>
    </row>
    <row r="37" spans="1:12" x14ac:dyDescent="0.25">
      <c r="A37" s="43"/>
      <c r="B37" s="14" t="s">
        <v>91</v>
      </c>
      <c r="C37" s="13"/>
      <c r="D37" s="13">
        <v>1</v>
      </c>
      <c r="E37" s="14" t="s">
        <v>90</v>
      </c>
      <c r="F37" s="14"/>
    </row>
    <row r="38" spans="1:12" x14ac:dyDescent="0.25">
      <c r="A38" s="13" t="s">
        <v>92</v>
      </c>
      <c r="B38" s="14" t="s">
        <v>67</v>
      </c>
      <c r="C38" s="13" t="s">
        <v>93</v>
      </c>
      <c r="D38" s="13">
        <v>0.5</v>
      </c>
      <c r="E38" s="14" t="s">
        <v>54</v>
      </c>
      <c r="F38" s="14"/>
    </row>
    <row r="39" spans="1:12" x14ac:dyDescent="0.25">
      <c r="A39" s="13" t="s">
        <v>94</v>
      </c>
      <c r="B39" s="14" t="s">
        <v>67</v>
      </c>
      <c r="C39" s="13" t="s">
        <v>95</v>
      </c>
      <c r="D39" s="13">
        <v>0.56000000000000005</v>
      </c>
      <c r="E39" s="14" t="s">
        <v>54</v>
      </c>
      <c r="F39" s="14"/>
    </row>
    <row r="40" spans="1:12" x14ac:dyDescent="0.25">
      <c r="A40" s="13" t="s">
        <v>96</v>
      </c>
      <c r="B40" s="14" t="s">
        <v>67</v>
      </c>
      <c r="C40" s="13" t="s">
        <v>95</v>
      </c>
      <c r="D40" s="13">
        <v>0.84</v>
      </c>
      <c r="E40" s="14" t="s">
        <v>54</v>
      </c>
      <c r="F40" s="14"/>
    </row>
    <row r="41" spans="1:12" x14ac:dyDescent="0.25">
      <c r="A41" s="13" t="s">
        <v>97</v>
      </c>
      <c r="B41" s="14" t="s">
        <v>67</v>
      </c>
      <c r="C41" s="13" t="s">
        <v>95</v>
      </c>
      <c r="D41" s="13">
        <v>0.84</v>
      </c>
      <c r="E41" s="14" t="s">
        <v>54</v>
      </c>
      <c r="F41" s="14"/>
    </row>
    <row r="42" spans="1:12" x14ac:dyDescent="0.25">
      <c r="A42" s="13" t="s">
        <v>98</v>
      </c>
      <c r="B42" s="14" t="s">
        <v>67</v>
      </c>
      <c r="C42" s="13" t="s">
        <v>95</v>
      </c>
      <c r="D42" s="13">
        <v>0.84</v>
      </c>
      <c r="E42" s="14" t="s">
        <v>54</v>
      </c>
      <c r="F42" s="14"/>
    </row>
    <row r="43" spans="1:12" x14ac:dyDescent="0.25">
      <c r="A43" s="26" t="s">
        <v>99</v>
      </c>
      <c r="B43" s="23"/>
      <c r="C43" s="23"/>
      <c r="D43" s="23"/>
      <c r="E43" s="23"/>
      <c r="F43" s="23"/>
    </row>
    <row r="44" spans="1:12" x14ac:dyDescent="0.25">
      <c r="A44" s="14" t="s">
        <v>152</v>
      </c>
      <c r="B44" s="14" t="s">
        <v>101</v>
      </c>
      <c r="C44" s="13" t="s">
        <v>102</v>
      </c>
      <c r="D44" s="14">
        <f>ROUND(J29*J30/1000,3)</f>
        <v>0.52200000000000002</v>
      </c>
      <c r="E44" s="14"/>
      <c r="F44" s="14" t="s">
        <v>153</v>
      </c>
    </row>
    <row r="45" spans="1:12" x14ac:dyDescent="0.25">
      <c r="A45" s="14" t="s">
        <v>69</v>
      </c>
      <c r="B45" s="14" t="s">
        <v>101</v>
      </c>
      <c r="C45" s="13" t="s">
        <v>102</v>
      </c>
      <c r="D45" s="14">
        <f t="shared" ref="D45:D50" si="0">ROUND(0.000001*D20*$D$15,3)</f>
        <v>0.45</v>
      </c>
      <c r="E45" s="14" t="s">
        <v>54</v>
      </c>
      <c r="F45" s="14" t="s">
        <v>103</v>
      </c>
    </row>
    <row r="46" spans="1:12" x14ac:dyDescent="0.25">
      <c r="A46" s="14" t="s">
        <v>70</v>
      </c>
      <c r="B46" s="14" t="s">
        <v>101</v>
      </c>
      <c r="C46" s="13" t="s">
        <v>102</v>
      </c>
      <c r="D46" s="14">
        <f t="shared" si="0"/>
        <v>0.315</v>
      </c>
      <c r="E46" s="14" t="s">
        <v>54</v>
      </c>
      <c r="F46" s="14" t="s">
        <v>103</v>
      </c>
    </row>
    <row r="47" spans="1:12" x14ac:dyDescent="0.25">
      <c r="A47" s="14" t="s">
        <v>71</v>
      </c>
      <c r="B47" s="14" t="s">
        <v>101</v>
      </c>
      <c r="C47" s="13" t="s">
        <v>102</v>
      </c>
      <c r="D47" s="14">
        <f t="shared" si="0"/>
        <v>2.1000000000000001E-2</v>
      </c>
      <c r="E47" s="14" t="s">
        <v>54</v>
      </c>
      <c r="F47" s="14" t="s">
        <v>103</v>
      </c>
    </row>
    <row r="48" spans="1:12" x14ac:dyDescent="0.25">
      <c r="A48" s="14" t="s">
        <v>72</v>
      </c>
      <c r="B48" s="14" t="s">
        <v>101</v>
      </c>
      <c r="C48" s="13" t="s">
        <v>102</v>
      </c>
      <c r="D48" s="14">
        <f t="shared" si="0"/>
        <v>5.0000000000000001E-3</v>
      </c>
      <c r="E48" s="14" t="s">
        <v>54</v>
      </c>
      <c r="F48" s="14" t="s">
        <v>103</v>
      </c>
    </row>
    <row r="49" spans="1:6" x14ac:dyDescent="0.25">
      <c r="A49" s="14" t="s">
        <v>73</v>
      </c>
      <c r="B49" s="14" t="s">
        <v>101</v>
      </c>
      <c r="C49" s="13" t="s">
        <v>102</v>
      </c>
      <c r="D49" s="14">
        <f t="shared" si="0"/>
        <v>5.0000000000000001E-3</v>
      </c>
      <c r="E49" s="14" t="s">
        <v>54</v>
      </c>
      <c r="F49" s="14" t="s">
        <v>103</v>
      </c>
    </row>
    <row r="50" spans="1:6" x14ac:dyDescent="0.25">
      <c r="A50" s="14" t="s">
        <v>74</v>
      </c>
      <c r="B50" s="14" t="s">
        <v>101</v>
      </c>
      <c r="C50" s="13" t="s">
        <v>102</v>
      </c>
      <c r="D50" s="14">
        <f t="shared" si="0"/>
        <v>5.0000000000000001E-3</v>
      </c>
      <c r="E50" s="14" t="s">
        <v>54</v>
      </c>
      <c r="F50" s="14" t="s">
        <v>103</v>
      </c>
    </row>
    <row r="51" spans="1:6" x14ac:dyDescent="0.25">
      <c r="A51" s="14" t="s">
        <v>75</v>
      </c>
      <c r="B51" s="14" t="s">
        <v>101</v>
      </c>
      <c r="C51" s="13" t="s">
        <v>102</v>
      </c>
      <c r="D51" s="14">
        <f>ROUND(D50*D26/100,4)</f>
        <v>2.9999999999999997E-4</v>
      </c>
      <c r="E51" s="14" t="s">
        <v>54</v>
      </c>
      <c r="F51" s="14" t="s">
        <v>104</v>
      </c>
    </row>
    <row r="52" spans="1:6" x14ac:dyDescent="0.25">
      <c r="A52" s="14" t="s">
        <v>77</v>
      </c>
      <c r="B52" s="14" t="s">
        <v>101</v>
      </c>
      <c r="C52" s="27" t="s">
        <v>105</v>
      </c>
      <c r="D52" s="14">
        <f>ROUND(0.000001*D27*$D$15,5)</f>
        <v>2.0000000000000002E-5</v>
      </c>
      <c r="E52" s="14" t="s">
        <v>54</v>
      </c>
      <c r="F52" s="14" t="s">
        <v>103</v>
      </c>
    </row>
    <row r="53" spans="1:6" x14ac:dyDescent="0.25">
      <c r="A53" s="14" t="s">
        <v>79</v>
      </c>
      <c r="B53" s="14" t="s">
        <v>101</v>
      </c>
      <c r="C53" s="27" t="s">
        <v>105</v>
      </c>
      <c r="D53" s="14">
        <f>ROUND(0.000001*D28*$D$15,6)</f>
        <v>3.0000000000000001E-6</v>
      </c>
      <c r="E53" s="14" t="s">
        <v>54</v>
      </c>
      <c r="F53" s="14" t="s">
        <v>103</v>
      </c>
    </row>
    <row r="54" spans="1:6" x14ac:dyDescent="0.25">
      <c r="A54" s="14" t="s">
        <v>80</v>
      </c>
      <c r="B54" s="14" t="s">
        <v>101</v>
      </c>
      <c r="C54" s="27" t="s">
        <v>105</v>
      </c>
      <c r="D54" s="14">
        <f>ROUND(0.000001*D29*$D$15,3)</f>
        <v>1E-3</v>
      </c>
      <c r="E54" s="14" t="s">
        <v>54</v>
      </c>
      <c r="F54" s="14" t="s">
        <v>103</v>
      </c>
    </row>
    <row r="55" spans="1:6" x14ac:dyDescent="0.25">
      <c r="A55" s="14" t="s">
        <v>81</v>
      </c>
      <c r="B55" s="14" t="s">
        <v>101</v>
      </c>
      <c r="C55" s="27" t="s">
        <v>105</v>
      </c>
      <c r="D55" s="14">
        <f>ROUND(0.000001*D30*$D$15,3)</f>
        <v>1E-3</v>
      </c>
      <c r="E55" s="14" t="s">
        <v>54</v>
      </c>
      <c r="F55" s="14" t="s">
        <v>103</v>
      </c>
    </row>
    <row r="56" spans="1:6" x14ac:dyDescent="0.25">
      <c r="A56" s="14" t="s">
        <v>82</v>
      </c>
      <c r="B56" s="14" t="s">
        <v>101</v>
      </c>
      <c r="C56" s="27" t="s">
        <v>105</v>
      </c>
      <c r="D56" s="14">
        <f>ROUND(0.000001*D31*$D$15,5)</f>
        <v>1.0000000000000001E-5</v>
      </c>
      <c r="E56" s="14" t="s">
        <v>54</v>
      </c>
      <c r="F56" s="14" t="s">
        <v>103</v>
      </c>
    </row>
    <row r="57" spans="1:6" x14ac:dyDescent="0.25">
      <c r="A57" s="14" t="s">
        <v>83</v>
      </c>
      <c r="B57" s="14" t="s">
        <v>101</v>
      </c>
      <c r="C57" s="27" t="s">
        <v>105</v>
      </c>
      <c r="D57" s="14">
        <f>ROUND(0.000001*D32*$D$15,5)</f>
        <v>1.0000000000000001E-5</v>
      </c>
      <c r="E57" s="14" t="s">
        <v>54</v>
      </c>
      <c r="F57" s="14" t="s">
        <v>103</v>
      </c>
    </row>
    <row r="58" spans="1:6" x14ac:dyDescent="0.25">
      <c r="A58" s="14" t="s">
        <v>84</v>
      </c>
      <c r="B58" s="14" t="s">
        <v>101</v>
      </c>
      <c r="C58" s="27" t="s">
        <v>105</v>
      </c>
      <c r="D58" s="14">
        <f>ROUND(0.000001*D33*$D$15,5)</f>
        <v>1.0000000000000001E-5</v>
      </c>
      <c r="E58" s="14" t="s">
        <v>54</v>
      </c>
      <c r="F58" s="14" t="s">
        <v>103</v>
      </c>
    </row>
    <row r="59" spans="1:6" x14ac:dyDescent="0.25">
      <c r="A59" s="14" t="s">
        <v>85</v>
      </c>
      <c r="B59" s="14" t="s">
        <v>101</v>
      </c>
      <c r="C59" s="27" t="s">
        <v>105</v>
      </c>
      <c r="D59" s="14">
        <f>ROUND(0.000001*D34*$D$15,4)</f>
        <v>1E-4</v>
      </c>
      <c r="E59" s="14" t="s">
        <v>54</v>
      </c>
      <c r="F59" s="14" t="s">
        <v>103</v>
      </c>
    </row>
    <row r="60" spans="1:6" x14ac:dyDescent="0.25">
      <c r="A60" s="14" t="s">
        <v>86</v>
      </c>
      <c r="B60" s="14" t="s">
        <v>101</v>
      </c>
      <c r="C60" s="27" t="s">
        <v>105</v>
      </c>
      <c r="D60" s="14">
        <f>ROUND(0.000001*D35*$D$15,4)</f>
        <v>2.0000000000000001E-4</v>
      </c>
      <c r="E60" s="14" t="s">
        <v>54</v>
      </c>
      <c r="F60" s="14" t="s">
        <v>103</v>
      </c>
    </row>
    <row r="61" spans="1:6" x14ac:dyDescent="0.25">
      <c r="A61" s="14" t="s">
        <v>87</v>
      </c>
      <c r="B61" s="14" t="s">
        <v>101</v>
      </c>
      <c r="C61" s="13" t="s">
        <v>102</v>
      </c>
      <c r="D61" s="14">
        <f>ROUND(D13*D14*D36*D37*3.664*0.001,3)</f>
        <v>589.29399999999998</v>
      </c>
      <c r="E61" s="14" t="s">
        <v>90</v>
      </c>
      <c r="F61" s="14" t="s">
        <v>106</v>
      </c>
    </row>
    <row r="62" spans="1:6" x14ac:dyDescent="0.25">
      <c r="A62" s="13" t="s">
        <v>92</v>
      </c>
      <c r="B62" s="14" t="s">
        <v>101</v>
      </c>
      <c r="C62" s="13" t="s">
        <v>107</v>
      </c>
      <c r="D62" s="14">
        <f>ROUND(D38*$D$15/1000000,3)</f>
        <v>5.0000000000000001E-3</v>
      </c>
      <c r="E62" s="14" t="s">
        <v>54</v>
      </c>
      <c r="F62" s="14" t="s">
        <v>103</v>
      </c>
    </row>
    <row r="63" spans="1:6" x14ac:dyDescent="0.25">
      <c r="A63" s="13" t="s">
        <v>94</v>
      </c>
      <c r="B63" s="14" t="s">
        <v>101</v>
      </c>
      <c r="C63" s="27" t="s">
        <v>105</v>
      </c>
      <c r="D63" s="14">
        <f>ROUND(D39*$D$15/1000000000,5)</f>
        <v>1.0000000000000001E-5</v>
      </c>
      <c r="E63" s="14" t="s">
        <v>54</v>
      </c>
      <c r="F63" s="14" t="s">
        <v>108</v>
      </c>
    </row>
    <row r="64" spans="1:6" x14ac:dyDescent="0.25">
      <c r="A64" s="13" t="s">
        <v>96</v>
      </c>
      <c r="B64" s="14" t="s">
        <v>101</v>
      </c>
      <c r="C64" s="27" t="s">
        <v>105</v>
      </c>
      <c r="D64" s="14">
        <f>ROUND(D40*$D$15/1000000000,5)</f>
        <v>1.0000000000000001E-5</v>
      </c>
      <c r="E64" s="14" t="s">
        <v>54</v>
      </c>
      <c r="F64" s="14" t="s">
        <v>108</v>
      </c>
    </row>
    <row r="65" spans="1:6" x14ac:dyDescent="0.25">
      <c r="A65" s="13" t="s">
        <v>97</v>
      </c>
      <c r="B65" s="14" t="s">
        <v>101</v>
      </c>
      <c r="C65" s="27" t="s">
        <v>105</v>
      </c>
      <c r="D65" s="14">
        <f>ROUND(D41*$D$15/1000000000,5)</f>
        <v>1.0000000000000001E-5</v>
      </c>
      <c r="E65" s="14" t="s">
        <v>54</v>
      </c>
      <c r="F65" s="14" t="s">
        <v>108</v>
      </c>
    </row>
    <row r="66" spans="1:6" x14ac:dyDescent="0.25">
      <c r="A66" s="13" t="s">
        <v>98</v>
      </c>
      <c r="B66" s="14" t="s">
        <v>101</v>
      </c>
      <c r="C66" s="27" t="s">
        <v>105</v>
      </c>
      <c r="D66" s="14">
        <f>ROUND(D42*$D$15/1000000000,5)</f>
        <v>1.0000000000000001E-5</v>
      </c>
      <c r="E66" s="14" t="s">
        <v>54</v>
      </c>
      <c r="F66" s="14" t="s">
        <v>108</v>
      </c>
    </row>
    <row r="67" spans="1:6" x14ac:dyDescent="0.25">
      <c r="A67" s="26" t="s">
        <v>109</v>
      </c>
      <c r="B67" s="23"/>
      <c r="C67" s="23"/>
      <c r="D67" s="23"/>
      <c r="E67" s="23"/>
      <c r="F67" s="23"/>
    </row>
    <row r="68" spans="1:6" x14ac:dyDescent="0.25">
      <c r="A68" s="14" t="s">
        <v>152</v>
      </c>
      <c r="B68" s="14" t="s">
        <v>110</v>
      </c>
      <c r="C68" s="27" t="s">
        <v>111</v>
      </c>
      <c r="D68" s="14">
        <f>ROUND(J35*J36*1000,3)</f>
        <v>1.2999999999999999E-2</v>
      </c>
      <c r="E68" s="14"/>
      <c r="F68" s="14" t="s">
        <v>154</v>
      </c>
    </row>
    <row r="69" spans="1:6" x14ac:dyDescent="0.25">
      <c r="A69" s="14" t="s">
        <v>69</v>
      </c>
      <c r="B69" s="14" t="s">
        <v>110</v>
      </c>
      <c r="C69" s="27" t="s">
        <v>111</v>
      </c>
      <c r="D69" s="38">
        <f>ROUND(0.001*D20*D12,3)</f>
        <v>0.01</v>
      </c>
      <c r="E69" s="14" t="s">
        <v>54</v>
      </c>
      <c r="F69" s="14" t="s">
        <v>112</v>
      </c>
    </row>
    <row r="70" spans="1:6" x14ac:dyDescent="0.25">
      <c r="A70" s="14" t="s">
        <v>70</v>
      </c>
      <c r="B70" s="14" t="s">
        <v>110</v>
      </c>
      <c r="C70" s="27" t="s">
        <v>111</v>
      </c>
      <c r="D70" s="14">
        <f>ROUND(0.001*D21*D12,3)</f>
        <v>7.0000000000000001E-3</v>
      </c>
      <c r="E70" s="14" t="s">
        <v>54</v>
      </c>
      <c r="F70" s="14" t="s">
        <v>112</v>
      </c>
    </row>
    <row r="71" spans="1:6" x14ac:dyDescent="0.25">
      <c r="A71" s="14" t="s">
        <v>71</v>
      </c>
      <c r="B71" s="14" t="s">
        <v>110</v>
      </c>
      <c r="C71" s="27" t="s">
        <v>111</v>
      </c>
      <c r="D71" s="39">
        <f>ROUND(0.001*D22*D12,4)</f>
        <v>5.0000000000000001E-4</v>
      </c>
      <c r="E71" s="14" t="s">
        <v>54</v>
      </c>
      <c r="F71" s="14" t="s">
        <v>112</v>
      </c>
    </row>
    <row r="72" spans="1:6" x14ac:dyDescent="0.25">
      <c r="A72" s="14" t="s">
        <v>72</v>
      </c>
      <c r="B72" s="14" t="s">
        <v>110</v>
      </c>
      <c r="C72" s="27" t="s">
        <v>111</v>
      </c>
      <c r="D72" s="14">
        <f>ROUND(0.001*D23*D12,4)</f>
        <v>1E-4</v>
      </c>
      <c r="E72" s="14" t="s">
        <v>54</v>
      </c>
      <c r="F72" s="14" t="s">
        <v>112</v>
      </c>
    </row>
    <row r="73" spans="1:6" x14ac:dyDescent="0.25">
      <c r="A73" s="14" t="s">
        <v>73</v>
      </c>
      <c r="B73" s="14" t="s">
        <v>110</v>
      </c>
      <c r="C73" s="27" t="s">
        <v>111</v>
      </c>
      <c r="D73" s="14">
        <f>ROUND(0.001*D24*D12,4)</f>
        <v>1E-4</v>
      </c>
      <c r="E73" s="14" t="s">
        <v>54</v>
      </c>
      <c r="F73" s="14" t="s">
        <v>112</v>
      </c>
    </row>
    <row r="74" spans="1:6" x14ac:dyDescent="0.25">
      <c r="A74" s="14" t="s">
        <v>74</v>
      </c>
      <c r="B74" s="14" t="s">
        <v>110</v>
      </c>
      <c r="C74" s="27" t="s">
        <v>111</v>
      </c>
      <c r="D74" s="14">
        <f>ROUND(0.001*D25*D12,4)</f>
        <v>1E-4</v>
      </c>
      <c r="E74" s="14" t="s">
        <v>54</v>
      </c>
      <c r="F74" s="14" t="s">
        <v>112</v>
      </c>
    </row>
    <row r="75" spans="1:6" x14ac:dyDescent="0.25">
      <c r="A75" s="14" t="s">
        <v>77</v>
      </c>
      <c r="B75" s="14" t="s">
        <v>110</v>
      </c>
      <c r="C75" s="27" t="s">
        <v>111</v>
      </c>
      <c r="D75" s="14">
        <f>ROUND(0.001*D27*D12/1000,10)</f>
        <v>3E-10</v>
      </c>
      <c r="E75" s="14" t="s">
        <v>54</v>
      </c>
      <c r="F75" s="14" t="s">
        <v>113</v>
      </c>
    </row>
    <row r="76" spans="1:6" x14ac:dyDescent="0.25">
      <c r="A76" s="14" t="s">
        <v>79</v>
      </c>
      <c r="B76" s="14" t="s">
        <v>110</v>
      </c>
      <c r="C76" s="27" t="s">
        <v>111</v>
      </c>
      <c r="D76" s="14">
        <f>ROUND(0.001*D28*D12/1000,10)</f>
        <v>1E-10</v>
      </c>
      <c r="E76" s="14" t="s">
        <v>54</v>
      </c>
      <c r="F76" s="14" t="s">
        <v>113</v>
      </c>
    </row>
    <row r="77" spans="1:6" x14ac:dyDescent="0.25">
      <c r="A77" s="14" t="s">
        <v>80</v>
      </c>
      <c r="B77" s="14" t="s">
        <v>110</v>
      </c>
      <c r="C77" s="27" t="s">
        <v>111</v>
      </c>
      <c r="D77" s="14">
        <f>ROUND(0.001*D29*D12/1000,8)</f>
        <v>2E-8</v>
      </c>
      <c r="E77" s="14" t="s">
        <v>54</v>
      </c>
      <c r="F77" s="14" t="s">
        <v>113</v>
      </c>
    </row>
    <row r="78" spans="1:6" x14ac:dyDescent="0.25">
      <c r="A78" s="14" t="s">
        <v>81</v>
      </c>
      <c r="B78" s="14" t="s">
        <v>110</v>
      </c>
      <c r="C78" s="27" t="s">
        <v>111</v>
      </c>
      <c r="D78" s="14">
        <f>ROUND(0.001*D30*D12/1000,8)</f>
        <v>2.9999999999999997E-8</v>
      </c>
      <c r="E78" s="14" t="s">
        <v>54</v>
      </c>
      <c r="F78" s="14" t="s">
        <v>113</v>
      </c>
    </row>
    <row r="79" spans="1:6" x14ac:dyDescent="0.25">
      <c r="A79" s="14" t="s">
        <v>82</v>
      </c>
      <c r="B79" s="14" t="s">
        <v>110</v>
      </c>
      <c r="C79" s="27" t="s">
        <v>111</v>
      </c>
      <c r="D79" s="14">
        <f>ROUND(0.001*D31*D12/1000,10)</f>
        <v>2.0000000000000001E-10</v>
      </c>
      <c r="E79" s="14" t="s">
        <v>54</v>
      </c>
      <c r="F79" s="14" t="s">
        <v>113</v>
      </c>
    </row>
    <row r="80" spans="1:6" x14ac:dyDescent="0.25">
      <c r="A80" s="14" t="s">
        <v>83</v>
      </c>
      <c r="B80" s="14" t="s">
        <v>110</v>
      </c>
      <c r="C80" s="27" t="s">
        <v>111</v>
      </c>
      <c r="D80" s="14">
        <f>ROUND(0.001*D32*D12/1000,10)</f>
        <v>2.0000000000000001E-10</v>
      </c>
      <c r="E80" s="14" t="s">
        <v>54</v>
      </c>
      <c r="F80" s="14" t="s">
        <v>113</v>
      </c>
    </row>
    <row r="81" spans="1:6" x14ac:dyDescent="0.25">
      <c r="A81" s="14" t="s">
        <v>84</v>
      </c>
      <c r="B81" s="14" t="s">
        <v>110</v>
      </c>
      <c r="C81" s="27" t="s">
        <v>111</v>
      </c>
      <c r="D81" s="14">
        <f>ROUND(0.001*D33*D12/1000,10)</f>
        <v>1E-10</v>
      </c>
      <c r="E81" s="14" t="s">
        <v>54</v>
      </c>
      <c r="F81" s="14" t="s">
        <v>113</v>
      </c>
    </row>
    <row r="82" spans="1:6" x14ac:dyDescent="0.25">
      <c r="A82" s="14" t="s">
        <v>85</v>
      </c>
      <c r="B82" s="14" t="s">
        <v>110</v>
      </c>
      <c r="C82" s="27" t="s">
        <v>111</v>
      </c>
      <c r="D82" s="14">
        <f>ROUND(0.001*D34*D12/1000,9)</f>
        <v>3E-9</v>
      </c>
      <c r="E82" s="14" t="s">
        <v>54</v>
      </c>
      <c r="F82" s="14" t="s">
        <v>113</v>
      </c>
    </row>
    <row r="83" spans="1:6" x14ac:dyDescent="0.25">
      <c r="A83" s="14" t="s">
        <v>86</v>
      </c>
      <c r="B83" s="14" t="s">
        <v>110</v>
      </c>
      <c r="C83" s="27" t="s">
        <v>111</v>
      </c>
      <c r="D83" s="14">
        <f>ROUND(0.001*D35*D12/1000,9)</f>
        <v>3E-9</v>
      </c>
      <c r="E83" s="14" t="s">
        <v>54</v>
      </c>
      <c r="F83" s="14" t="s">
        <v>113</v>
      </c>
    </row>
  </sheetData>
  <mergeCells count="2">
    <mergeCell ref="H25:L25"/>
    <mergeCell ref="A36:A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Heiteallikas SA-3</vt:lpstr>
      <vt:lpstr>Heiteallikas SA-4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Tsernossitova</dc:creator>
  <cp:lastModifiedBy>Veronika Tsernossitova</cp:lastModifiedBy>
  <dcterms:created xsi:type="dcterms:W3CDTF">2025-07-01T12:23:02Z</dcterms:created>
  <dcterms:modified xsi:type="dcterms:W3CDTF">2025-07-01T12:35:30Z</dcterms:modified>
</cp:coreProperties>
</file>